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9040" windowHeight="15780" activeTab="2"/>
  </bookViews>
  <sheets>
    <sheet name="Реестр" sheetId="7" r:id="rId1"/>
    <sheet name="Перечень" sheetId="3" r:id="rId2"/>
    <sheet name="Рес обесп" sheetId="4" r:id="rId3"/>
    <sheet name="Плановые показатели" sheetId="5" r:id="rId4"/>
    <sheet name="Реестр_бонусы" sheetId="8" r:id="rId5"/>
    <sheet name="Перечень_бонусы" sheetId="9" r:id="rId6"/>
    <sheet name="Планируемые показат_бонусы" sheetId="10" r:id="rId7"/>
  </sheets>
  <definedNames>
    <definedName name="_xlnm._FilterDatabase" localSheetId="1" hidden="1">Перечень!$A$15:$GC$1158</definedName>
    <definedName name="_xlnm._FilterDatabase" localSheetId="5" hidden="1">Перечень_бонусы!$A$10:$Q$61</definedName>
    <definedName name="_xlnm._FilterDatabase" localSheetId="3" hidden="1">'Плановые показатели'!$A$9:$J$194</definedName>
    <definedName name="_xlnm._FilterDatabase" localSheetId="0" hidden="1">Реестр!$A$18:$CE$1164</definedName>
    <definedName name="_xlnm._FilterDatabase" localSheetId="4" hidden="1">Реестр_бонусы!$A$11:$AJ$62</definedName>
    <definedName name="_xlnm.Print_Area" localSheetId="1">Перечень!$A$1:$U$12</definedName>
    <definedName name="_xlnm.Print_Area" localSheetId="0">Реестр!$A$1:$AH$1165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92" i="3" l="1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U155" i="3"/>
  <c r="T155" i="3"/>
  <c r="AC198" i="7"/>
  <c r="AC197" i="7"/>
  <c r="AC196" i="7"/>
  <c r="AC195" i="7"/>
  <c r="AC194" i="7"/>
  <c r="AC193" i="7"/>
  <c r="AC192" i="7"/>
  <c r="AC188" i="7"/>
  <c r="AC187" i="7"/>
  <c r="AC186" i="7"/>
  <c r="AC185" i="7"/>
  <c r="AC183" i="7"/>
  <c r="AC182" i="7"/>
  <c r="AC180" i="7"/>
  <c r="AC179" i="7"/>
  <c r="AC178" i="7"/>
  <c r="AC177" i="7"/>
  <c r="AC176" i="7"/>
  <c r="AC175" i="7"/>
  <c r="AC174" i="7"/>
  <c r="AC173" i="7"/>
  <c r="AC172" i="7"/>
  <c r="AC171" i="7"/>
  <c r="AC170" i="7"/>
  <c r="AC168" i="7"/>
  <c r="AC166" i="7"/>
  <c r="AC165" i="7"/>
  <c r="AC164" i="7"/>
  <c r="AC163" i="7"/>
  <c r="AC162" i="7"/>
  <c r="G207" i="7" l="1"/>
  <c r="F61" i="5" l="1"/>
  <c r="AD470" i="7"/>
  <c r="N496" i="7" l="1"/>
  <c r="N440" i="7"/>
  <c r="P12" i="9" l="1"/>
  <c r="P14" i="9"/>
  <c r="P15" i="9"/>
  <c r="P16" i="9"/>
  <c r="P17" i="9"/>
  <c r="P18" i="9"/>
  <c r="P19" i="9"/>
  <c r="P20" i="9"/>
  <c r="P21" i="9"/>
  <c r="P22" i="9"/>
  <c r="Q22" i="9" s="1"/>
  <c r="P24" i="9"/>
  <c r="P26" i="9"/>
  <c r="P28" i="9"/>
  <c r="P30" i="9"/>
  <c r="P31" i="9"/>
  <c r="P33" i="9"/>
  <c r="P34" i="9"/>
  <c r="P36" i="9"/>
  <c r="P37" i="9"/>
  <c r="P38" i="9"/>
  <c r="P40" i="9"/>
  <c r="P42" i="9"/>
  <c r="P44" i="9"/>
  <c r="P45" i="9"/>
  <c r="P46" i="9"/>
  <c r="P48" i="9"/>
  <c r="P50" i="9"/>
  <c r="P52" i="9"/>
  <c r="P54" i="9"/>
  <c r="P55" i="9"/>
  <c r="P56" i="9"/>
  <c r="P58" i="9"/>
  <c r="P60" i="9"/>
  <c r="P62" i="9"/>
  <c r="J13" i="9"/>
  <c r="L13" i="9"/>
  <c r="I13" i="9"/>
  <c r="P13" i="9" s="1"/>
  <c r="B22" i="9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F62" i="8"/>
  <c r="AG62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G14" i="8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S550" i="3"/>
  <c r="T550" i="3"/>
  <c r="T551" i="3"/>
  <c r="B550" i="3"/>
  <c r="B551" i="3"/>
  <c r="B552" i="3"/>
  <c r="AE23" i="8" l="1"/>
  <c r="F23" i="8" s="1"/>
  <c r="E14" i="8"/>
  <c r="B22" i="8"/>
  <c r="B23" i="8"/>
  <c r="AD122" i="7"/>
  <c r="D556" i="7"/>
  <c r="B556" i="7"/>
  <c r="J889" i="3" l="1"/>
  <c r="K889" i="3"/>
  <c r="L889" i="3"/>
  <c r="I889" i="3"/>
  <c r="J711" i="3"/>
  <c r="K711" i="3"/>
  <c r="L711" i="3"/>
  <c r="I711" i="3"/>
  <c r="J655" i="3"/>
  <c r="K655" i="3"/>
  <c r="L655" i="3"/>
  <c r="I655" i="3"/>
  <c r="I642" i="3"/>
  <c r="J528" i="3"/>
  <c r="K528" i="3"/>
  <c r="L528" i="3"/>
  <c r="I528" i="3"/>
  <c r="J230" i="3"/>
  <c r="K230" i="3"/>
  <c r="L230" i="3"/>
  <c r="I230" i="3"/>
  <c r="J193" i="3"/>
  <c r="K193" i="3"/>
  <c r="L193" i="3"/>
  <c r="I193" i="3"/>
  <c r="J15" i="3"/>
  <c r="K15" i="3"/>
  <c r="L15" i="3"/>
  <c r="I15" i="3"/>
  <c r="B526" i="3"/>
  <c r="B524" i="3"/>
  <c r="B522" i="3"/>
  <c r="B521" i="3"/>
  <c r="B520" i="3"/>
  <c r="B518" i="3"/>
  <c r="B517" i="3"/>
  <c r="B516" i="3"/>
  <c r="B515" i="3"/>
  <c r="B514" i="3"/>
  <c r="B512" i="3"/>
  <c r="B511" i="3"/>
  <c r="B510" i="3"/>
  <c r="B509" i="3"/>
  <c r="B508" i="3"/>
  <c r="B507" i="3"/>
  <c r="B505" i="3"/>
  <c r="B503" i="3"/>
  <c r="B501" i="3"/>
  <c r="B499" i="3"/>
  <c r="B498" i="3"/>
  <c r="B497" i="3"/>
  <c r="B496" i="3"/>
  <c r="B495" i="3"/>
  <c r="B494" i="3"/>
  <c r="B492" i="3"/>
  <c r="B490" i="3"/>
  <c r="B488" i="3"/>
  <c r="B486" i="3"/>
  <c r="B484" i="3"/>
  <c r="B482" i="3"/>
  <c r="B481" i="3"/>
  <c r="B480" i="3"/>
  <c r="B479" i="3"/>
  <c r="B478" i="3"/>
  <c r="B476" i="3"/>
  <c r="B474" i="3"/>
  <c r="B473" i="3"/>
  <c r="B471" i="3"/>
  <c r="B470" i="3"/>
  <c r="B469" i="3"/>
  <c r="B468" i="3"/>
  <c r="B467" i="3"/>
  <c r="B466" i="3"/>
  <c r="B465" i="3"/>
  <c r="B464" i="3"/>
  <c r="B462" i="3"/>
  <c r="B461" i="3"/>
  <c r="B460" i="3"/>
  <c r="B459" i="3"/>
  <c r="B458" i="3"/>
  <c r="B457" i="3"/>
  <c r="B456" i="3"/>
  <c r="B455" i="3"/>
  <c r="B453" i="3"/>
  <c r="B452" i="3"/>
  <c r="B451" i="3"/>
  <c r="B450" i="3"/>
  <c r="B449" i="3"/>
  <c r="B448" i="3"/>
  <c r="B446" i="3"/>
  <c r="B444" i="3"/>
  <c r="B442" i="3"/>
  <c r="B440" i="3"/>
  <c r="B438" i="3"/>
  <c r="B436" i="3"/>
  <c r="B434" i="3"/>
  <c r="B433" i="3"/>
  <c r="B432" i="3"/>
  <c r="B431" i="3"/>
  <c r="B430" i="3"/>
  <c r="B429" i="3"/>
  <c r="B428" i="3"/>
  <c r="B427" i="3"/>
  <c r="B426" i="3"/>
  <c r="B424" i="3"/>
  <c r="B422" i="3"/>
  <c r="B421" i="3"/>
  <c r="B420" i="3"/>
  <c r="B419" i="3"/>
  <c r="B418" i="3"/>
  <c r="B416" i="3"/>
  <c r="B415" i="3"/>
  <c r="B414" i="3"/>
  <c r="B413" i="3"/>
  <c r="B412" i="3"/>
  <c r="B411" i="3"/>
  <c r="B410" i="3"/>
  <c r="B409" i="3"/>
  <c r="B407" i="3"/>
  <c r="B406" i="3"/>
  <c r="B404" i="3"/>
  <c r="B402" i="3"/>
  <c r="B401" i="3"/>
  <c r="B400" i="3"/>
  <c r="B399" i="3"/>
  <c r="B398" i="3"/>
  <c r="B396" i="3"/>
  <c r="B394" i="3"/>
  <c r="B392" i="3"/>
  <c r="B391" i="3"/>
  <c r="B390" i="3"/>
  <c r="B389" i="3"/>
  <c r="B388" i="3"/>
  <c r="B387" i="3"/>
  <c r="B386" i="3"/>
  <c r="B384" i="3"/>
  <c r="B382" i="3"/>
  <c r="B381" i="3"/>
  <c r="B380" i="3"/>
  <c r="B378" i="3"/>
  <c r="B376" i="3"/>
  <c r="B375" i="3"/>
  <c r="B373" i="3"/>
  <c r="B372" i="3"/>
  <c r="B371" i="3"/>
  <c r="B369" i="3"/>
  <c r="B367" i="3"/>
  <c r="B365" i="3"/>
  <c r="B364" i="3"/>
  <c r="B362" i="3"/>
  <c r="B361" i="3"/>
  <c r="B360" i="3"/>
  <c r="B359" i="3"/>
  <c r="B358" i="3"/>
  <c r="B357" i="3"/>
  <c r="B356" i="3"/>
  <c r="B355" i="3"/>
  <c r="B354" i="3"/>
  <c r="B353" i="3"/>
  <c r="B352" i="3"/>
  <c r="B351" i="3"/>
  <c r="B350" i="3"/>
  <c r="B349" i="3"/>
  <c r="B347" i="3"/>
  <c r="B345" i="3"/>
  <c r="B344" i="3"/>
  <c r="B342" i="3"/>
  <c r="B341" i="3"/>
  <c r="B339" i="3"/>
  <c r="B338" i="3"/>
  <c r="B336" i="3"/>
  <c r="B335" i="3"/>
  <c r="B334" i="3"/>
  <c r="B332" i="3"/>
  <c r="B331" i="3"/>
  <c r="B330" i="3"/>
  <c r="B329" i="3"/>
  <c r="B327" i="3"/>
  <c r="B326" i="3"/>
  <c r="B325" i="3"/>
  <c r="B324" i="3"/>
  <c r="B323" i="3"/>
  <c r="B322" i="3"/>
  <c r="B321" i="3"/>
  <c r="B320" i="3"/>
  <c r="B319" i="3"/>
  <c r="B318" i="3"/>
  <c r="B317" i="3"/>
  <c r="B316" i="3"/>
  <c r="B314" i="3"/>
  <c r="B313" i="3"/>
  <c r="B312" i="3"/>
  <c r="B311" i="3"/>
  <c r="B310" i="3"/>
  <c r="B309" i="3"/>
  <c r="B308" i="3"/>
  <c r="B307" i="3"/>
  <c r="B306" i="3"/>
  <c r="B305" i="3"/>
  <c r="B304" i="3"/>
  <c r="B303" i="3"/>
  <c r="B302" i="3"/>
  <c r="B301" i="3"/>
  <c r="B300" i="3"/>
  <c r="B298" i="3"/>
  <c r="B296" i="3"/>
  <c r="B295" i="3"/>
  <c r="B294" i="3"/>
  <c r="B293" i="3"/>
  <c r="B292" i="3"/>
  <c r="B290" i="3"/>
  <c r="B289" i="3"/>
  <c r="B288" i="3"/>
  <c r="B287" i="3"/>
  <c r="B286" i="3"/>
  <c r="B284" i="3"/>
  <c r="B283" i="3"/>
  <c r="B281" i="3"/>
  <c r="B279" i="3"/>
  <c r="B278" i="3"/>
  <c r="B277" i="3"/>
  <c r="B276" i="3"/>
  <c r="B274" i="3"/>
  <c r="B273" i="3"/>
  <c r="B272" i="3"/>
  <c r="B271" i="3"/>
  <c r="B270" i="3"/>
  <c r="B269" i="3"/>
  <c r="B267" i="3"/>
  <c r="B266" i="3"/>
  <c r="B265" i="3"/>
  <c r="B264" i="3"/>
  <c r="B263" i="3"/>
  <c r="B262" i="3"/>
  <c r="B261" i="3"/>
  <c r="B259" i="3"/>
  <c r="B258" i="3"/>
  <c r="B257" i="3"/>
  <c r="B256" i="3"/>
  <c r="B255" i="3"/>
  <c r="B254" i="3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29" i="3"/>
  <c r="B228" i="3"/>
  <c r="B227" i="3"/>
  <c r="B226" i="3"/>
  <c r="B225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8" i="3"/>
  <c r="B17" i="3"/>
  <c r="B887" i="3"/>
  <c r="B885" i="3"/>
  <c r="B883" i="3"/>
  <c r="B882" i="3"/>
  <c r="B880" i="3"/>
  <c r="B878" i="3"/>
  <c r="B877" i="3"/>
  <c r="B876" i="3"/>
  <c r="B874" i="3"/>
  <c r="B872" i="3"/>
  <c r="B870" i="3"/>
  <c r="B868" i="3"/>
  <c r="B867" i="3"/>
  <c r="B865" i="3"/>
  <c r="B864" i="3"/>
  <c r="B863" i="3"/>
  <c r="B861" i="3"/>
  <c r="B860" i="3"/>
  <c r="B859" i="3"/>
  <c r="B857" i="3"/>
  <c r="B855" i="3"/>
  <c r="B853" i="3"/>
  <c r="B851" i="3"/>
  <c r="B849" i="3"/>
  <c r="B848" i="3"/>
  <c r="B846" i="3"/>
  <c r="B845" i="3"/>
  <c r="B844" i="3"/>
  <c r="B843" i="3"/>
  <c r="B842" i="3"/>
  <c r="B840" i="3"/>
  <c r="B838" i="3"/>
  <c r="B836" i="3"/>
  <c r="B835" i="3"/>
  <c r="B833" i="3"/>
  <c r="B831" i="3"/>
  <c r="B829" i="3"/>
  <c r="B827" i="3"/>
  <c r="B825" i="3"/>
  <c r="B823" i="3"/>
  <c r="B821" i="3"/>
  <c r="B819" i="3"/>
  <c r="B818" i="3"/>
  <c r="B816" i="3"/>
  <c r="B815" i="3"/>
  <c r="B814" i="3"/>
  <c r="B813" i="3"/>
  <c r="B811" i="3"/>
  <c r="B809" i="3"/>
  <c r="B807" i="3"/>
  <c r="B806" i="3"/>
  <c r="B804" i="3"/>
  <c r="B802" i="3"/>
  <c r="B801" i="3"/>
  <c r="B800" i="3"/>
  <c r="B799" i="3"/>
  <c r="B798" i="3"/>
  <c r="B797" i="3"/>
  <c r="B796" i="3"/>
  <c r="B795" i="3"/>
  <c r="B793" i="3"/>
  <c r="B791" i="3"/>
  <c r="B789" i="3"/>
  <c r="B787" i="3"/>
  <c r="B785" i="3"/>
  <c r="B783" i="3"/>
  <c r="B781" i="3"/>
  <c r="B779" i="3"/>
  <c r="B778" i="3"/>
  <c r="B776" i="3"/>
  <c r="B775" i="3"/>
  <c r="B774" i="3"/>
  <c r="B773" i="3"/>
  <c r="B772" i="3"/>
  <c r="B771" i="3"/>
  <c r="B769" i="3"/>
  <c r="B767" i="3"/>
  <c r="B765" i="3"/>
  <c r="B764" i="3"/>
  <c r="B762" i="3"/>
  <c r="B761" i="3"/>
  <c r="B759" i="3"/>
  <c r="B758" i="3"/>
  <c r="B756" i="3"/>
  <c r="B755" i="3"/>
  <c r="B754" i="3"/>
  <c r="B753" i="3"/>
  <c r="B751" i="3"/>
  <c r="B750" i="3"/>
  <c r="B748" i="3"/>
  <c r="B747" i="3"/>
  <c r="B746" i="3"/>
  <c r="B745" i="3"/>
  <c r="B744" i="3"/>
  <c r="B743" i="3"/>
  <c r="B742" i="3"/>
  <c r="B741" i="3"/>
  <c r="B740" i="3"/>
  <c r="B739" i="3"/>
  <c r="B738" i="3"/>
  <c r="B737" i="3"/>
  <c r="B735" i="3"/>
  <c r="B734" i="3"/>
  <c r="B733" i="3"/>
  <c r="B731" i="3"/>
  <c r="B730" i="3"/>
  <c r="B729" i="3"/>
  <c r="B728" i="3"/>
  <c r="B727" i="3"/>
  <c r="B726" i="3"/>
  <c r="B725" i="3"/>
  <c r="B724" i="3"/>
  <c r="B723" i="3"/>
  <c r="B722" i="3"/>
  <c r="B721" i="3"/>
  <c r="B720" i="3"/>
  <c r="B719" i="3"/>
  <c r="B718" i="3"/>
  <c r="B717" i="3"/>
  <c r="B716" i="3"/>
  <c r="B715" i="3"/>
  <c r="B714" i="3"/>
  <c r="B713" i="3"/>
  <c r="B712" i="3"/>
  <c r="B710" i="3"/>
  <c r="B709" i="3"/>
  <c r="B708" i="3"/>
  <c r="B707" i="3"/>
  <c r="B706" i="3"/>
  <c r="B705" i="3"/>
  <c r="B704" i="3"/>
  <c r="B703" i="3"/>
  <c r="B702" i="3"/>
  <c r="B701" i="3"/>
  <c r="B700" i="3"/>
  <c r="B699" i="3"/>
  <c r="B698" i="3"/>
  <c r="B697" i="3"/>
  <c r="B696" i="3"/>
  <c r="B695" i="3"/>
  <c r="B694" i="3"/>
  <c r="B693" i="3"/>
  <c r="B692" i="3"/>
  <c r="B691" i="3"/>
  <c r="B690" i="3"/>
  <c r="B689" i="3"/>
  <c r="B688" i="3"/>
  <c r="B687" i="3"/>
  <c r="B686" i="3"/>
  <c r="B685" i="3"/>
  <c r="B684" i="3"/>
  <c r="B683" i="3"/>
  <c r="B682" i="3"/>
  <c r="B681" i="3"/>
  <c r="B680" i="3"/>
  <c r="B679" i="3"/>
  <c r="B678" i="3"/>
  <c r="B677" i="3"/>
  <c r="B676" i="3"/>
  <c r="B675" i="3"/>
  <c r="B674" i="3"/>
  <c r="B673" i="3"/>
  <c r="B672" i="3"/>
  <c r="B671" i="3"/>
  <c r="B670" i="3"/>
  <c r="B669" i="3"/>
  <c r="B668" i="3"/>
  <c r="B667" i="3"/>
  <c r="B666" i="3"/>
  <c r="B665" i="3"/>
  <c r="B664" i="3"/>
  <c r="B663" i="3"/>
  <c r="B662" i="3"/>
  <c r="B661" i="3"/>
  <c r="B660" i="3"/>
  <c r="B659" i="3"/>
  <c r="B658" i="3"/>
  <c r="B657" i="3"/>
  <c r="B656" i="3"/>
  <c r="B654" i="3"/>
  <c r="B653" i="3"/>
  <c r="B652" i="3"/>
  <c r="B651" i="3"/>
  <c r="B650" i="3"/>
  <c r="B649" i="3"/>
  <c r="B648" i="3"/>
  <c r="B647" i="3"/>
  <c r="B646" i="3"/>
  <c r="B645" i="3"/>
  <c r="B644" i="3"/>
  <c r="B643" i="3"/>
  <c r="B641" i="3"/>
  <c r="B640" i="3"/>
  <c r="B639" i="3"/>
  <c r="B638" i="3"/>
  <c r="B637" i="3"/>
  <c r="B636" i="3"/>
  <c r="B635" i="3"/>
  <c r="B634" i="3"/>
  <c r="B633" i="3"/>
  <c r="B632" i="3"/>
  <c r="B631" i="3"/>
  <c r="B630" i="3"/>
  <c r="B629" i="3"/>
  <c r="B628" i="3"/>
  <c r="B627" i="3"/>
  <c r="B626" i="3"/>
  <c r="B625" i="3"/>
  <c r="B624" i="3"/>
  <c r="B623" i="3"/>
  <c r="B622" i="3"/>
  <c r="B621" i="3"/>
  <c r="B620" i="3"/>
  <c r="B619" i="3"/>
  <c r="B618" i="3"/>
  <c r="B617" i="3"/>
  <c r="B616" i="3"/>
  <c r="B615" i="3"/>
  <c r="B614" i="3"/>
  <c r="B613" i="3"/>
  <c r="B612" i="3"/>
  <c r="B611" i="3"/>
  <c r="B610" i="3"/>
  <c r="B609" i="3"/>
  <c r="B608" i="3"/>
  <c r="B607" i="3"/>
  <c r="B606" i="3"/>
  <c r="B605" i="3"/>
  <c r="B604" i="3"/>
  <c r="B603" i="3"/>
  <c r="B602" i="3"/>
  <c r="B601" i="3"/>
  <c r="B600" i="3"/>
  <c r="B599" i="3"/>
  <c r="B598" i="3"/>
  <c r="B597" i="3"/>
  <c r="B596" i="3"/>
  <c r="B595" i="3"/>
  <c r="B594" i="3"/>
  <c r="B593" i="3"/>
  <c r="B592" i="3"/>
  <c r="B591" i="3"/>
  <c r="B590" i="3"/>
  <c r="B589" i="3"/>
  <c r="B588" i="3"/>
  <c r="B587" i="3"/>
  <c r="B586" i="3"/>
  <c r="B585" i="3"/>
  <c r="B584" i="3"/>
  <c r="B583" i="3"/>
  <c r="B582" i="3"/>
  <c r="B581" i="3"/>
  <c r="B580" i="3"/>
  <c r="B579" i="3"/>
  <c r="B578" i="3"/>
  <c r="B577" i="3"/>
  <c r="B576" i="3"/>
  <c r="B575" i="3"/>
  <c r="B574" i="3"/>
  <c r="B573" i="3"/>
  <c r="B572" i="3"/>
  <c r="B571" i="3"/>
  <c r="B570" i="3"/>
  <c r="B569" i="3"/>
  <c r="B568" i="3"/>
  <c r="B567" i="3"/>
  <c r="B566" i="3"/>
  <c r="B565" i="3"/>
  <c r="B564" i="3"/>
  <c r="B563" i="3"/>
  <c r="B562" i="3"/>
  <c r="B561" i="3"/>
  <c r="B560" i="3"/>
  <c r="B559" i="3"/>
  <c r="B558" i="3"/>
  <c r="B557" i="3"/>
  <c r="B556" i="3"/>
  <c r="B555" i="3"/>
  <c r="B554" i="3"/>
  <c r="B553" i="3"/>
  <c r="B549" i="3"/>
  <c r="B548" i="3"/>
  <c r="B547" i="3"/>
  <c r="B546" i="3"/>
  <c r="B545" i="3"/>
  <c r="B544" i="3"/>
  <c r="B543" i="3"/>
  <c r="B542" i="3"/>
  <c r="B541" i="3"/>
  <c r="B540" i="3"/>
  <c r="B539" i="3"/>
  <c r="B538" i="3"/>
  <c r="B537" i="3"/>
  <c r="B536" i="3"/>
  <c r="B535" i="3"/>
  <c r="B534" i="3"/>
  <c r="B533" i="3"/>
  <c r="B532" i="3"/>
  <c r="B531" i="3"/>
  <c r="B530" i="3"/>
  <c r="B1159" i="3"/>
  <c r="B1157" i="3"/>
  <c r="B1156" i="3"/>
  <c r="B1155" i="3"/>
  <c r="B1153" i="3"/>
  <c r="B1151" i="3"/>
  <c r="B1149" i="3"/>
  <c r="B1147" i="3"/>
  <c r="B1146" i="3"/>
  <c r="B1145" i="3"/>
  <c r="B1143" i="3"/>
  <c r="B1142" i="3"/>
  <c r="B1140" i="3"/>
  <c r="B1138" i="3"/>
  <c r="B1136" i="3"/>
  <c r="B1135" i="3"/>
  <c r="B1133" i="3"/>
  <c r="B1132" i="3"/>
  <c r="B1131" i="3"/>
  <c r="B1130" i="3"/>
  <c r="B1128" i="3"/>
  <c r="B1127" i="3"/>
  <c r="B1126" i="3"/>
  <c r="B1124" i="3"/>
  <c r="B1123" i="3"/>
  <c r="B1121" i="3"/>
  <c r="B1120" i="3"/>
  <c r="B1118" i="3"/>
  <c r="B1116" i="3"/>
  <c r="B1114" i="3"/>
  <c r="B1112" i="3"/>
  <c r="B1111" i="3"/>
  <c r="B1110" i="3"/>
  <c r="B1108" i="3"/>
  <c r="B1106" i="3"/>
  <c r="B1104" i="3"/>
  <c r="B1102" i="3"/>
  <c r="B1101" i="3"/>
  <c r="B1100" i="3"/>
  <c r="B1098" i="3"/>
  <c r="B1096" i="3"/>
  <c r="B1094" i="3"/>
  <c r="B1092" i="3"/>
  <c r="B1090" i="3"/>
  <c r="B1088" i="3"/>
  <c r="B1086" i="3"/>
  <c r="B1085" i="3"/>
  <c r="B1084" i="3"/>
  <c r="B1082" i="3"/>
  <c r="B1080" i="3"/>
  <c r="B1079" i="3"/>
  <c r="B1077" i="3"/>
  <c r="B1076" i="3"/>
  <c r="B1075" i="3"/>
  <c r="B1073" i="3"/>
  <c r="B1072" i="3"/>
  <c r="B1070" i="3"/>
  <c r="B1069" i="3"/>
  <c r="B1068" i="3"/>
  <c r="B1067" i="3"/>
  <c r="B1066" i="3"/>
  <c r="B1065" i="3"/>
  <c r="B1063" i="3"/>
  <c r="B1061" i="3"/>
  <c r="B1059" i="3"/>
  <c r="B1057" i="3"/>
  <c r="B1056" i="3"/>
  <c r="B1054" i="3"/>
  <c r="B1052" i="3"/>
  <c r="B1050" i="3"/>
  <c r="B1048" i="3"/>
  <c r="B1046" i="3"/>
  <c r="B1045" i="3"/>
  <c r="B1043" i="3"/>
  <c r="B1042" i="3"/>
  <c r="B1041" i="3"/>
  <c r="B1040" i="3"/>
  <c r="B1039" i="3"/>
  <c r="B1038" i="3"/>
  <c r="B1037" i="3"/>
  <c r="B1035" i="3"/>
  <c r="B1033" i="3"/>
  <c r="B1031" i="3"/>
  <c r="B1030" i="3"/>
  <c r="B1028" i="3"/>
  <c r="B1026" i="3"/>
  <c r="B1024" i="3"/>
  <c r="B1023" i="3"/>
  <c r="B1021" i="3"/>
  <c r="B1020" i="3"/>
  <c r="B1018" i="3"/>
  <c r="B1017" i="3"/>
  <c r="B1016" i="3"/>
  <c r="B1014" i="3"/>
  <c r="B1013" i="3"/>
  <c r="B1012" i="3"/>
  <c r="B1011" i="3"/>
  <c r="B1010" i="3"/>
  <c r="B1009" i="3"/>
  <c r="B1008" i="3"/>
  <c r="B1007" i="3"/>
  <c r="B1005" i="3"/>
  <c r="B1004" i="3"/>
  <c r="B1002" i="3"/>
  <c r="B1001" i="3"/>
  <c r="B1000" i="3"/>
  <c r="B999" i="3"/>
  <c r="B998" i="3"/>
  <c r="B997" i="3"/>
  <c r="B996" i="3"/>
  <c r="B995" i="3"/>
  <c r="B994" i="3"/>
  <c r="B993" i="3"/>
  <c r="B992" i="3"/>
  <c r="B990" i="3"/>
  <c r="B989" i="3"/>
  <c r="B988" i="3"/>
  <c r="B987" i="3"/>
  <c r="B986" i="3"/>
  <c r="B985" i="3"/>
  <c r="B984" i="3"/>
  <c r="B983" i="3"/>
  <c r="B982" i="3"/>
  <c r="B981" i="3"/>
  <c r="B980" i="3"/>
  <c r="B979" i="3"/>
  <c r="B978" i="3"/>
  <c r="B977" i="3"/>
  <c r="B976" i="3"/>
  <c r="B975" i="3"/>
  <c r="B974" i="3"/>
  <c r="B973" i="3"/>
  <c r="B972" i="3"/>
  <c r="B971" i="3"/>
  <c r="B970" i="3"/>
  <c r="B969" i="3"/>
  <c r="B968" i="3"/>
  <c r="B967" i="3"/>
  <c r="B966" i="3"/>
  <c r="B965" i="3"/>
  <c r="B964" i="3"/>
  <c r="B962" i="3"/>
  <c r="B961" i="3"/>
  <c r="B960" i="3"/>
  <c r="B959" i="3"/>
  <c r="B958" i="3"/>
  <c r="B957" i="3"/>
  <c r="B956" i="3"/>
  <c r="B955" i="3"/>
  <c r="B954" i="3"/>
  <c r="B953" i="3"/>
  <c r="B952" i="3"/>
  <c r="B951" i="3"/>
  <c r="B950" i="3"/>
  <c r="B949" i="3"/>
  <c r="B947" i="3"/>
  <c r="B946" i="3"/>
  <c r="B945" i="3"/>
  <c r="B944" i="3"/>
  <c r="B943" i="3"/>
  <c r="B942" i="3"/>
  <c r="B941" i="3"/>
  <c r="B940" i="3"/>
  <c r="B939" i="3"/>
  <c r="B938" i="3"/>
  <c r="B937" i="3"/>
  <c r="B936" i="3"/>
  <c r="B935" i="3"/>
  <c r="B934" i="3"/>
  <c r="B933" i="3"/>
  <c r="B932" i="3"/>
  <c r="B931" i="3"/>
  <c r="B930" i="3"/>
  <c r="B929" i="3"/>
  <c r="B928" i="3"/>
  <c r="B927" i="3"/>
  <c r="B926" i="3"/>
  <c r="B925" i="3"/>
  <c r="B924" i="3"/>
  <c r="B923" i="3"/>
  <c r="B922" i="3"/>
  <c r="B921" i="3"/>
  <c r="B920" i="3"/>
  <c r="B919" i="3"/>
  <c r="B918" i="3"/>
  <c r="B917" i="3"/>
  <c r="B916" i="3"/>
  <c r="B915" i="3"/>
  <c r="B914" i="3"/>
  <c r="B913" i="3"/>
  <c r="B912" i="3"/>
  <c r="B911" i="3"/>
  <c r="B910" i="3"/>
  <c r="B909" i="3"/>
  <c r="B908" i="3"/>
  <c r="B907" i="3"/>
  <c r="B906" i="3"/>
  <c r="B905" i="3"/>
  <c r="B904" i="3"/>
  <c r="B903" i="3"/>
  <c r="B902" i="3"/>
  <c r="B901" i="3"/>
  <c r="B900" i="3"/>
  <c r="B899" i="3"/>
  <c r="B898" i="3"/>
  <c r="B897" i="3"/>
  <c r="B896" i="3"/>
  <c r="B895" i="3"/>
  <c r="B894" i="3"/>
  <c r="B893" i="3"/>
  <c r="B892" i="3"/>
  <c r="B891" i="3"/>
  <c r="S891" i="3"/>
  <c r="S892" i="3"/>
  <c r="S893" i="3"/>
  <c r="S894" i="3"/>
  <c r="S895" i="3"/>
  <c r="S896" i="3"/>
  <c r="S897" i="3"/>
  <c r="S898" i="3"/>
  <c r="S899" i="3"/>
  <c r="S900" i="3"/>
  <c r="S901" i="3"/>
  <c r="S902" i="3"/>
  <c r="S903" i="3"/>
  <c r="S904" i="3"/>
  <c r="S905" i="3"/>
  <c r="S906" i="3"/>
  <c r="S907" i="3"/>
  <c r="S908" i="3"/>
  <c r="S909" i="3"/>
  <c r="S910" i="3"/>
  <c r="S911" i="3"/>
  <c r="S912" i="3"/>
  <c r="S913" i="3"/>
  <c r="S914" i="3"/>
  <c r="S915" i="3"/>
  <c r="S916" i="3"/>
  <c r="S917" i="3"/>
  <c r="S918" i="3"/>
  <c r="S919" i="3"/>
  <c r="S920" i="3"/>
  <c r="S921" i="3"/>
  <c r="S922" i="3"/>
  <c r="S923" i="3"/>
  <c r="S924" i="3"/>
  <c r="S925" i="3"/>
  <c r="S926" i="3"/>
  <c r="S927" i="3"/>
  <c r="S928" i="3"/>
  <c r="S929" i="3"/>
  <c r="S930" i="3"/>
  <c r="S931" i="3"/>
  <c r="S932" i="3"/>
  <c r="S933" i="3"/>
  <c r="S934" i="3"/>
  <c r="S935" i="3"/>
  <c r="S936" i="3"/>
  <c r="S937" i="3"/>
  <c r="S938" i="3"/>
  <c r="S939" i="3"/>
  <c r="S940" i="3"/>
  <c r="S941" i="3"/>
  <c r="S942" i="3"/>
  <c r="S943" i="3"/>
  <c r="S944" i="3"/>
  <c r="S945" i="3"/>
  <c r="S946" i="3"/>
  <c r="S947" i="3"/>
  <c r="Q889" i="3"/>
  <c r="R889" i="3"/>
  <c r="Q711" i="3"/>
  <c r="R711" i="3"/>
  <c r="Q655" i="3"/>
  <c r="R655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Q528" i="3"/>
  <c r="R528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Q230" i="3"/>
  <c r="R230" i="3"/>
  <c r="Q155" i="3"/>
  <c r="R155" i="3"/>
  <c r="Q193" i="3"/>
  <c r="R193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7" i="3"/>
  <c r="T118" i="3"/>
  <c r="T119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94" i="3"/>
  <c r="T195" i="3"/>
  <c r="T196" i="3"/>
  <c r="T197" i="3"/>
  <c r="T198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T220" i="3"/>
  <c r="T221" i="3"/>
  <c r="T222" i="3"/>
  <c r="T223" i="3"/>
  <c r="T225" i="3"/>
  <c r="T226" i="3"/>
  <c r="T227" i="3"/>
  <c r="T228" i="3"/>
  <c r="T229" i="3"/>
  <c r="T231" i="3"/>
  <c r="T232" i="3"/>
  <c r="T233" i="3"/>
  <c r="T234" i="3"/>
  <c r="T235" i="3"/>
  <c r="T236" i="3"/>
  <c r="T237" i="3"/>
  <c r="T238" i="3"/>
  <c r="T239" i="3"/>
  <c r="T240" i="3"/>
  <c r="T241" i="3"/>
  <c r="T242" i="3"/>
  <c r="T243" i="3"/>
  <c r="T244" i="3"/>
  <c r="T245" i="3"/>
  <c r="T246" i="3"/>
  <c r="T247" i="3"/>
  <c r="T248" i="3"/>
  <c r="T249" i="3"/>
  <c r="T250" i="3"/>
  <c r="T251" i="3"/>
  <c r="T252" i="3"/>
  <c r="T253" i="3"/>
  <c r="T254" i="3"/>
  <c r="T255" i="3"/>
  <c r="T256" i="3"/>
  <c r="T257" i="3"/>
  <c r="T258" i="3"/>
  <c r="T259" i="3"/>
  <c r="T261" i="3"/>
  <c r="T262" i="3"/>
  <c r="T263" i="3"/>
  <c r="T264" i="3"/>
  <c r="T265" i="3"/>
  <c r="T266" i="3"/>
  <c r="T267" i="3"/>
  <c r="T269" i="3"/>
  <c r="T270" i="3"/>
  <c r="T271" i="3"/>
  <c r="T272" i="3"/>
  <c r="T273" i="3"/>
  <c r="T274" i="3"/>
  <c r="T276" i="3"/>
  <c r="T277" i="3"/>
  <c r="T278" i="3"/>
  <c r="T279" i="3"/>
  <c r="T281" i="3"/>
  <c r="T283" i="3"/>
  <c r="T284" i="3"/>
  <c r="T286" i="3"/>
  <c r="T287" i="3"/>
  <c r="T288" i="3"/>
  <c r="T289" i="3"/>
  <c r="T290" i="3"/>
  <c r="T292" i="3"/>
  <c r="T293" i="3"/>
  <c r="T294" i="3"/>
  <c r="T295" i="3"/>
  <c r="T296" i="3"/>
  <c r="T298" i="3"/>
  <c r="T300" i="3"/>
  <c r="T301" i="3"/>
  <c r="T302" i="3"/>
  <c r="T303" i="3"/>
  <c r="T304" i="3"/>
  <c r="T305" i="3"/>
  <c r="T306" i="3"/>
  <c r="T307" i="3"/>
  <c r="T308" i="3"/>
  <c r="T309" i="3"/>
  <c r="T310" i="3"/>
  <c r="T311" i="3"/>
  <c r="T312" i="3"/>
  <c r="T313" i="3"/>
  <c r="T314" i="3"/>
  <c r="T316" i="3"/>
  <c r="T317" i="3"/>
  <c r="T318" i="3"/>
  <c r="T319" i="3"/>
  <c r="T320" i="3"/>
  <c r="T321" i="3"/>
  <c r="T322" i="3"/>
  <c r="T323" i="3"/>
  <c r="T324" i="3"/>
  <c r="T325" i="3"/>
  <c r="T326" i="3"/>
  <c r="T327" i="3"/>
  <c r="T329" i="3"/>
  <c r="T330" i="3"/>
  <c r="T331" i="3"/>
  <c r="T332" i="3"/>
  <c r="T334" i="3"/>
  <c r="T335" i="3"/>
  <c r="T336" i="3"/>
  <c r="T338" i="3"/>
  <c r="T339" i="3"/>
  <c r="T341" i="3"/>
  <c r="T342" i="3"/>
  <c r="T344" i="3"/>
  <c r="T345" i="3"/>
  <c r="T347" i="3"/>
  <c r="T349" i="3"/>
  <c r="T350" i="3"/>
  <c r="T351" i="3"/>
  <c r="T352" i="3"/>
  <c r="T353" i="3"/>
  <c r="T354" i="3"/>
  <c r="T355" i="3"/>
  <c r="T356" i="3"/>
  <c r="T357" i="3"/>
  <c r="T358" i="3"/>
  <c r="T359" i="3"/>
  <c r="T360" i="3"/>
  <c r="T361" i="3"/>
  <c r="T362" i="3"/>
  <c r="T364" i="3"/>
  <c r="T365" i="3"/>
  <c r="T367" i="3"/>
  <c r="T369" i="3"/>
  <c r="T371" i="3"/>
  <c r="T372" i="3"/>
  <c r="T373" i="3"/>
  <c r="T375" i="3"/>
  <c r="T376" i="3"/>
  <c r="T378" i="3"/>
  <c r="T380" i="3"/>
  <c r="T381" i="3"/>
  <c r="T382" i="3"/>
  <c r="T384" i="3"/>
  <c r="T386" i="3"/>
  <c r="T387" i="3"/>
  <c r="T388" i="3"/>
  <c r="T389" i="3"/>
  <c r="T390" i="3"/>
  <c r="T391" i="3"/>
  <c r="T392" i="3"/>
  <c r="T394" i="3"/>
  <c r="T396" i="3"/>
  <c r="T398" i="3"/>
  <c r="T399" i="3"/>
  <c r="T400" i="3"/>
  <c r="T401" i="3"/>
  <c r="T402" i="3"/>
  <c r="T404" i="3"/>
  <c r="T406" i="3"/>
  <c r="T407" i="3"/>
  <c r="T409" i="3"/>
  <c r="T410" i="3"/>
  <c r="T411" i="3"/>
  <c r="T412" i="3"/>
  <c r="T413" i="3"/>
  <c r="T414" i="3"/>
  <c r="T415" i="3"/>
  <c r="T416" i="3"/>
  <c r="T418" i="3"/>
  <c r="T419" i="3"/>
  <c r="T420" i="3"/>
  <c r="T421" i="3"/>
  <c r="T422" i="3"/>
  <c r="T424" i="3"/>
  <c r="T426" i="3"/>
  <c r="T427" i="3"/>
  <c r="T428" i="3"/>
  <c r="T429" i="3"/>
  <c r="T430" i="3"/>
  <c r="T431" i="3"/>
  <c r="T432" i="3"/>
  <c r="T433" i="3"/>
  <c r="T434" i="3"/>
  <c r="T436" i="3"/>
  <c r="T438" i="3"/>
  <c r="T440" i="3"/>
  <c r="T442" i="3"/>
  <c r="T444" i="3"/>
  <c r="T446" i="3"/>
  <c r="T448" i="3"/>
  <c r="T449" i="3"/>
  <c r="T450" i="3"/>
  <c r="T451" i="3"/>
  <c r="T452" i="3"/>
  <c r="T453" i="3"/>
  <c r="T455" i="3"/>
  <c r="T456" i="3"/>
  <c r="T457" i="3"/>
  <c r="T458" i="3"/>
  <c r="T459" i="3"/>
  <c r="T460" i="3"/>
  <c r="T461" i="3"/>
  <c r="T462" i="3"/>
  <c r="T464" i="3"/>
  <c r="T465" i="3"/>
  <c r="T466" i="3"/>
  <c r="T467" i="3"/>
  <c r="T468" i="3"/>
  <c r="T469" i="3"/>
  <c r="T470" i="3"/>
  <c r="T471" i="3"/>
  <c r="T473" i="3"/>
  <c r="T474" i="3"/>
  <c r="T476" i="3"/>
  <c r="T478" i="3"/>
  <c r="T479" i="3"/>
  <c r="T480" i="3"/>
  <c r="T481" i="3"/>
  <c r="T482" i="3"/>
  <c r="T484" i="3"/>
  <c r="T486" i="3"/>
  <c r="T488" i="3"/>
  <c r="T490" i="3"/>
  <c r="T492" i="3"/>
  <c r="T494" i="3"/>
  <c r="T495" i="3"/>
  <c r="T496" i="3"/>
  <c r="T497" i="3"/>
  <c r="T498" i="3"/>
  <c r="T499" i="3"/>
  <c r="T501" i="3"/>
  <c r="T503" i="3"/>
  <c r="T505" i="3"/>
  <c r="T507" i="3"/>
  <c r="T508" i="3"/>
  <c r="T509" i="3"/>
  <c r="T510" i="3"/>
  <c r="T511" i="3"/>
  <c r="T512" i="3"/>
  <c r="T514" i="3"/>
  <c r="T515" i="3"/>
  <c r="T516" i="3"/>
  <c r="T517" i="3"/>
  <c r="T518" i="3"/>
  <c r="T520" i="3"/>
  <c r="T521" i="3"/>
  <c r="T522" i="3"/>
  <c r="T524" i="3"/>
  <c r="T526" i="3"/>
  <c r="T529" i="3"/>
  <c r="T530" i="3"/>
  <c r="T531" i="3"/>
  <c r="T532" i="3"/>
  <c r="T533" i="3"/>
  <c r="T534" i="3"/>
  <c r="T535" i="3"/>
  <c r="T536" i="3"/>
  <c r="T537" i="3"/>
  <c r="U537" i="3" s="1"/>
  <c r="T538" i="3"/>
  <c r="T539" i="3"/>
  <c r="T540" i="3"/>
  <c r="T541" i="3"/>
  <c r="T542" i="3"/>
  <c r="T543" i="3"/>
  <c r="T544" i="3"/>
  <c r="T545" i="3"/>
  <c r="T546" i="3"/>
  <c r="T547" i="3"/>
  <c r="T548" i="3"/>
  <c r="T549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U584" i="3" s="1"/>
  <c r="T585" i="3"/>
  <c r="U585" i="3" s="1"/>
  <c r="T586" i="3"/>
  <c r="U586" i="3" s="1"/>
  <c r="T587" i="3"/>
  <c r="U587" i="3" s="1"/>
  <c r="T588" i="3"/>
  <c r="U588" i="3" s="1"/>
  <c r="T589" i="3"/>
  <c r="U589" i="3" s="1"/>
  <c r="T590" i="3"/>
  <c r="U590" i="3" s="1"/>
  <c r="T591" i="3"/>
  <c r="U591" i="3" s="1"/>
  <c r="T592" i="3"/>
  <c r="U592" i="3" s="1"/>
  <c r="T593" i="3"/>
  <c r="U593" i="3" s="1"/>
  <c r="T594" i="3"/>
  <c r="U594" i="3" s="1"/>
  <c r="T595" i="3"/>
  <c r="U595" i="3" s="1"/>
  <c r="T596" i="3"/>
  <c r="U596" i="3" s="1"/>
  <c r="T597" i="3"/>
  <c r="U597" i="3" s="1"/>
  <c r="T598" i="3"/>
  <c r="U598" i="3" s="1"/>
  <c r="T599" i="3"/>
  <c r="U599" i="3" s="1"/>
  <c r="T600" i="3"/>
  <c r="U600" i="3" s="1"/>
  <c r="T601" i="3"/>
  <c r="U601" i="3" s="1"/>
  <c r="T602" i="3"/>
  <c r="U602" i="3" s="1"/>
  <c r="T603" i="3"/>
  <c r="U603" i="3" s="1"/>
  <c r="T604" i="3"/>
  <c r="U604" i="3" s="1"/>
  <c r="T605" i="3"/>
  <c r="U605" i="3" s="1"/>
  <c r="T606" i="3"/>
  <c r="U606" i="3" s="1"/>
  <c r="T607" i="3"/>
  <c r="U607" i="3" s="1"/>
  <c r="T608" i="3"/>
  <c r="U608" i="3" s="1"/>
  <c r="T609" i="3"/>
  <c r="U609" i="3" s="1"/>
  <c r="T610" i="3"/>
  <c r="U610" i="3" s="1"/>
  <c r="T611" i="3"/>
  <c r="U611" i="3" s="1"/>
  <c r="T612" i="3"/>
  <c r="U612" i="3" s="1"/>
  <c r="T613" i="3"/>
  <c r="U613" i="3" s="1"/>
  <c r="T614" i="3"/>
  <c r="U614" i="3" s="1"/>
  <c r="T615" i="3"/>
  <c r="U615" i="3" s="1"/>
  <c r="T616" i="3"/>
  <c r="U616" i="3" s="1"/>
  <c r="T617" i="3"/>
  <c r="U617" i="3" s="1"/>
  <c r="T618" i="3"/>
  <c r="U618" i="3" s="1"/>
  <c r="T619" i="3"/>
  <c r="U619" i="3" s="1"/>
  <c r="T620" i="3"/>
  <c r="U620" i="3" s="1"/>
  <c r="T621" i="3"/>
  <c r="U621" i="3" s="1"/>
  <c r="T622" i="3"/>
  <c r="U622" i="3" s="1"/>
  <c r="T623" i="3"/>
  <c r="U623" i="3" s="1"/>
  <c r="T624" i="3"/>
  <c r="U624" i="3" s="1"/>
  <c r="T625" i="3"/>
  <c r="U625" i="3" s="1"/>
  <c r="T626" i="3"/>
  <c r="U626" i="3" s="1"/>
  <c r="T627" i="3"/>
  <c r="U627" i="3" s="1"/>
  <c r="T628" i="3"/>
  <c r="U628" i="3" s="1"/>
  <c r="T629" i="3"/>
  <c r="U629" i="3" s="1"/>
  <c r="T630" i="3"/>
  <c r="U630" i="3" s="1"/>
  <c r="T631" i="3"/>
  <c r="U631" i="3" s="1"/>
  <c r="T632" i="3"/>
  <c r="U632" i="3" s="1"/>
  <c r="T633" i="3"/>
  <c r="U633" i="3" s="1"/>
  <c r="T634" i="3"/>
  <c r="U634" i="3" s="1"/>
  <c r="T635" i="3"/>
  <c r="U635" i="3" s="1"/>
  <c r="T636" i="3"/>
  <c r="U636" i="3" s="1"/>
  <c r="T637" i="3"/>
  <c r="U637" i="3" s="1"/>
  <c r="T638" i="3"/>
  <c r="U638" i="3" s="1"/>
  <c r="T639" i="3"/>
  <c r="U639" i="3" s="1"/>
  <c r="T640" i="3"/>
  <c r="U640" i="3" s="1"/>
  <c r="T641" i="3"/>
  <c r="U641" i="3" s="1"/>
  <c r="T643" i="3"/>
  <c r="T644" i="3"/>
  <c r="T645" i="3"/>
  <c r="T646" i="3"/>
  <c r="T647" i="3"/>
  <c r="T648" i="3"/>
  <c r="T649" i="3"/>
  <c r="T650" i="3"/>
  <c r="T651" i="3"/>
  <c r="T652" i="3"/>
  <c r="T653" i="3"/>
  <c r="T654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U684" i="3" s="1"/>
  <c r="T685" i="3"/>
  <c r="U685" i="3" s="1"/>
  <c r="T686" i="3"/>
  <c r="U686" i="3" s="1"/>
  <c r="T687" i="3"/>
  <c r="U687" i="3" s="1"/>
  <c r="T688" i="3"/>
  <c r="U688" i="3" s="1"/>
  <c r="T689" i="3"/>
  <c r="U689" i="3" s="1"/>
  <c r="T690" i="3"/>
  <c r="U690" i="3" s="1"/>
  <c r="T691" i="3"/>
  <c r="U691" i="3" s="1"/>
  <c r="T692" i="3"/>
  <c r="U692" i="3" s="1"/>
  <c r="T693" i="3"/>
  <c r="U693" i="3" s="1"/>
  <c r="T694" i="3"/>
  <c r="U694" i="3" s="1"/>
  <c r="T695" i="3"/>
  <c r="U695" i="3" s="1"/>
  <c r="T696" i="3"/>
  <c r="U696" i="3" s="1"/>
  <c r="T697" i="3"/>
  <c r="U697" i="3" s="1"/>
  <c r="T698" i="3"/>
  <c r="U698" i="3" s="1"/>
  <c r="T699" i="3"/>
  <c r="U699" i="3" s="1"/>
  <c r="T700" i="3"/>
  <c r="U700" i="3" s="1"/>
  <c r="T701" i="3"/>
  <c r="U701" i="3" s="1"/>
  <c r="T702" i="3"/>
  <c r="U702" i="3" s="1"/>
  <c r="T703" i="3"/>
  <c r="U703" i="3" s="1"/>
  <c r="T704" i="3"/>
  <c r="U704" i="3" s="1"/>
  <c r="T705" i="3"/>
  <c r="U705" i="3" s="1"/>
  <c r="T706" i="3"/>
  <c r="U706" i="3" s="1"/>
  <c r="T707" i="3"/>
  <c r="U707" i="3" s="1"/>
  <c r="T708" i="3"/>
  <c r="U708" i="3" s="1"/>
  <c r="T709" i="3"/>
  <c r="U709" i="3" s="1"/>
  <c r="T710" i="3"/>
  <c r="U710" i="3" s="1"/>
  <c r="T712" i="3"/>
  <c r="T713" i="3"/>
  <c r="T714" i="3"/>
  <c r="T715" i="3"/>
  <c r="T716" i="3"/>
  <c r="T717" i="3"/>
  <c r="T718" i="3"/>
  <c r="T719" i="3"/>
  <c r="T720" i="3"/>
  <c r="T721" i="3"/>
  <c r="U721" i="3" s="1"/>
  <c r="T722" i="3"/>
  <c r="U722" i="3" s="1"/>
  <c r="T723" i="3"/>
  <c r="U723" i="3" s="1"/>
  <c r="T724" i="3"/>
  <c r="U724" i="3" s="1"/>
  <c r="T725" i="3"/>
  <c r="U725" i="3" s="1"/>
  <c r="T726" i="3"/>
  <c r="U726" i="3" s="1"/>
  <c r="T727" i="3"/>
  <c r="U727" i="3" s="1"/>
  <c r="T728" i="3"/>
  <c r="U728" i="3" s="1"/>
  <c r="T729" i="3"/>
  <c r="U729" i="3" s="1"/>
  <c r="T730" i="3"/>
  <c r="U730" i="3" s="1"/>
  <c r="T731" i="3"/>
  <c r="U731" i="3" s="1"/>
  <c r="T733" i="3"/>
  <c r="T734" i="3"/>
  <c r="T735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50" i="3"/>
  <c r="T751" i="3"/>
  <c r="T753" i="3"/>
  <c r="T754" i="3"/>
  <c r="T755" i="3"/>
  <c r="T756" i="3"/>
  <c r="T758" i="3"/>
  <c r="T759" i="3"/>
  <c r="T761" i="3"/>
  <c r="T762" i="3"/>
  <c r="T764" i="3"/>
  <c r="T765" i="3"/>
  <c r="T767" i="3"/>
  <c r="T769" i="3"/>
  <c r="T771" i="3"/>
  <c r="T772" i="3"/>
  <c r="T773" i="3"/>
  <c r="T774" i="3"/>
  <c r="T775" i="3"/>
  <c r="T776" i="3"/>
  <c r="T778" i="3"/>
  <c r="T779" i="3"/>
  <c r="T781" i="3"/>
  <c r="T783" i="3"/>
  <c r="T785" i="3"/>
  <c r="T787" i="3"/>
  <c r="T789" i="3"/>
  <c r="T791" i="3"/>
  <c r="T793" i="3"/>
  <c r="T795" i="3"/>
  <c r="T796" i="3"/>
  <c r="T797" i="3"/>
  <c r="T798" i="3"/>
  <c r="T799" i="3"/>
  <c r="T800" i="3"/>
  <c r="T801" i="3"/>
  <c r="T802" i="3"/>
  <c r="T804" i="3"/>
  <c r="T806" i="3"/>
  <c r="T807" i="3"/>
  <c r="T809" i="3"/>
  <c r="T811" i="3"/>
  <c r="T813" i="3"/>
  <c r="T814" i="3"/>
  <c r="T815" i="3"/>
  <c r="T816" i="3"/>
  <c r="T818" i="3"/>
  <c r="T819" i="3"/>
  <c r="T821" i="3"/>
  <c r="T823" i="3"/>
  <c r="T825" i="3"/>
  <c r="T827" i="3"/>
  <c r="T829" i="3"/>
  <c r="T831" i="3"/>
  <c r="T833" i="3"/>
  <c r="T835" i="3"/>
  <c r="T836" i="3"/>
  <c r="T838" i="3"/>
  <c r="T840" i="3"/>
  <c r="T842" i="3"/>
  <c r="T843" i="3"/>
  <c r="T844" i="3"/>
  <c r="T845" i="3"/>
  <c r="T846" i="3"/>
  <c r="T848" i="3"/>
  <c r="T849" i="3"/>
  <c r="T851" i="3"/>
  <c r="T853" i="3"/>
  <c r="T855" i="3"/>
  <c r="T857" i="3"/>
  <c r="T859" i="3"/>
  <c r="T860" i="3"/>
  <c r="T861" i="3"/>
  <c r="T863" i="3"/>
  <c r="T864" i="3"/>
  <c r="T865" i="3"/>
  <c r="T867" i="3"/>
  <c r="T868" i="3"/>
  <c r="T870" i="3"/>
  <c r="T872" i="3"/>
  <c r="T874" i="3"/>
  <c r="T876" i="3"/>
  <c r="T877" i="3"/>
  <c r="T878" i="3"/>
  <c r="T880" i="3"/>
  <c r="T882" i="3"/>
  <c r="T883" i="3"/>
  <c r="T885" i="3"/>
  <c r="T887" i="3"/>
  <c r="T890" i="3"/>
  <c r="T891" i="3"/>
  <c r="T892" i="3"/>
  <c r="T893" i="3"/>
  <c r="T894" i="3"/>
  <c r="T895" i="3"/>
  <c r="T896" i="3"/>
  <c r="T897" i="3"/>
  <c r="T898" i="3"/>
  <c r="T899" i="3"/>
  <c r="T900" i="3"/>
  <c r="T901" i="3"/>
  <c r="T902" i="3"/>
  <c r="T903" i="3"/>
  <c r="T904" i="3"/>
  <c r="T905" i="3"/>
  <c r="T906" i="3"/>
  <c r="T907" i="3"/>
  <c r="T908" i="3"/>
  <c r="T909" i="3"/>
  <c r="T910" i="3"/>
  <c r="T911" i="3"/>
  <c r="T912" i="3"/>
  <c r="T913" i="3"/>
  <c r="T914" i="3"/>
  <c r="T915" i="3"/>
  <c r="T916" i="3"/>
  <c r="T917" i="3"/>
  <c r="T918" i="3"/>
  <c r="T919" i="3"/>
  <c r="T920" i="3"/>
  <c r="T921" i="3"/>
  <c r="T922" i="3"/>
  <c r="T923" i="3"/>
  <c r="T924" i="3"/>
  <c r="T925" i="3"/>
  <c r="T926" i="3"/>
  <c r="T927" i="3"/>
  <c r="T928" i="3"/>
  <c r="T929" i="3"/>
  <c r="T930" i="3"/>
  <c r="T931" i="3"/>
  <c r="T932" i="3"/>
  <c r="T933" i="3"/>
  <c r="T934" i="3"/>
  <c r="T935" i="3"/>
  <c r="T936" i="3"/>
  <c r="T937" i="3"/>
  <c r="T938" i="3"/>
  <c r="T939" i="3"/>
  <c r="T940" i="3"/>
  <c r="T941" i="3"/>
  <c r="T942" i="3"/>
  <c r="T943" i="3"/>
  <c r="T944" i="3"/>
  <c r="T945" i="3"/>
  <c r="T946" i="3"/>
  <c r="T947" i="3"/>
  <c r="T949" i="3"/>
  <c r="T950" i="3"/>
  <c r="T951" i="3"/>
  <c r="T952" i="3"/>
  <c r="T953" i="3"/>
  <c r="T954" i="3"/>
  <c r="T955" i="3"/>
  <c r="T956" i="3"/>
  <c r="T957" i="3"/>
  <c r="T958" i="3"/>
  <c r="T959" i="3"/>
  <c r="T960" i="3"/>
  <c r="T961" i="3"/>
  <c r="T962" i="3"/>
  <c r="T964" i="3"/>
  <c r="T965" i="3"/>
  <c r="T966" i="3"/>
  <c r="T967" i="3"/>
  <c r="T968" i="3"/>
  <c r="T969" i="3"/>
  <c r="T970" i="3"/>
  <c r="T971" i="3"/>
  <c r="T972" i="3"/>
  <c r="T973" i="3"/>
  <c r="T974" i="3"/>
  <c r="T975" i="3"/>
  <c r="T976" i="3"/>
  <c r="T977" i="3"/>
  <c r="T978" i="3"/>
  <c r="T979" i="3"/>
  <c r="T980" i="3"/>
  <c r="T981" i="3"/>
  <c r="T982" i="3"/>
  <c r="T983" i="3"/>
  <c r="T984" i="3"/>
  <c r="T985" i="3"/>
  <c r="T986" i="3"/>
  <c r="T987" i="3"/>
  <c r="T988" i="3"/>
  <c r="T989" i="3"/>
  <c r="T990" i="3"/>
  <c r="T992" i="3"/>
  <c r="T993" i="3"/>
  <c r="T994" i="3"/>
  <c r="T995" i="3"/>
  <c r="T996" i="3"/>
  <c r="T997" i="3"/>
  <c r="T998" i="3"/>
  <c r="T999" i="3"/>
  <c r="T1000" i="3"/>
  <c r="T1001" i="3"/>
  <c r="T1002" i="3"/>
  <c r="T1004" i="3"/>
  <c r="T1005" i="3"/>
  <c r="T1007" i="3"/>
  <c r="T1008" i="3"/>
  <c r="T1009" i="3"/>
  <c r="T1010" i="3"/>
  <c r="T1011" i="3"/>
  <c r="T1012" i="3"/>
  <c r="T1013" i="3"/>
  <c r="T1014" i="3"/>
  <c r="T1016" i="3"/>
  <c r="T1017" i="3"/>
  <c r="T1018" i="3"/>
  <c r="T1020" i="3"/>
  <c r="T1021" i="3"/>
  <c r="T1023" i="3"/>
  <c r="T1024" i="3"/>
  <c r="T1026" i="3"/>
  <c r="T1028" i="3"/>
  <c r="T1030" i="3"/>
  <c r="T1031" i="3"/>
  <c r="T1033" i="3"/>
  <c r="T1035" i="3"/>
  <c r="T1037" i="3"/>
  <c r="T1038" i="3"/>
  <c r="T1039" i="3"/>
  <c r="T1040" i="3"/>
  <c r="T1041" i="3"/>
  <c r="T1042" i="3"/>
  <c r="T1043" i="3"/>
  <c r="T1045" i="3"/>
  <c r="T1046" i="3"/>
  <c r="T1048" i="3"/>
  <c r="T1050" i="3"/>
  <c r="T1052" i="3"/>
  <c r="T1054" i="3"/>
  <c r="T1056" i="3"/>
  <c r="T1057" i="3"/>
  <c r="T1059" i="3"/>
  <c r="T1061" i="3"/>
  <c r="T1063" i="3"/>
  <c r="T1065" i="3"/>
  <c r="T1066" i="3"/>
  <c r="T1067" i="3"/>
  <c r="T1068" i="3"/>
  <c r="T1069" i="3"/>
  <c r="T1070" i="3"/>
  <c r="T1072" i="3"/>
  <c r="T1073" i="3"/>
  <c r="T1075" i="3"/>
  <c r="T1076" i="3"/>
  <c r="T1077" i="3"/>
  <c r="T1079" i="3"/>
  <c r="T1080" i="3"/>
  <c r="T1082" i="3"/>
  <c r="T1084" i="3"/>
  <c r="T1085" i="3"/>
  <c r="T1086" i="3"/>
  <c r="T1088" i="3"/>
  <c r="T1090" i="3"/>
  <c r="T1092" i="3"/>
  <c r="T1094" i="3"/>
  <c r="T1096" i="3"/>
  <c r="T1098" i="3"/>
  <c r="T1100" i="3"/>
  <c r="T1101" i="3"/>
  <c r="T1102" i="3"/>
  <c r="T1104" i="3"/>
  <c r="T1106" i="3"/>
  <c r="T1108" i="3"/>
  <c r="T1110" i="3"/>
  <c r="T1111" i="3"/>
  <c r="T1112" i="3"/>
  <c r="T1114" i="3"/>
  <c r="T1116" i="3"/>
  <c r="T1118" i="3"/>
  <c r="T1120" i="3"/>
  <c r="T1121" i="3"/>
  <c r="T1123" i="3"/>
  <c r="T1124" i="3"/>
  <c r="T1126" i="3"/>
  <c r="T1127" i="3"/>
  <c r="T1128" i="3"/>
  <c r="T1130" i="3"/>
  <c r="T1131" i="3"/>
  <c r="T1132" i="3"/>
  <c r="T1133" i="3"/>
  <c r="T1135" i="3"/>
  <c r="T1136" i="3"/>
  <c r="T1138" i="3"/>
  <c r="T1140" i="3"/>
  <c r="T1142" i="3"/>
  <c r="T1143" i="3"/>
  <c r="T1145" i="3"/>
  <c r="T1146" i="3"/>
  <c r="T1147" i="3"/>
  <c r="T1149" i="3"/>
  <c r="T1151" i="3"/>
  <c r="T1153" i="3"/>
  <c r="T1155" i="3"/>
  <c r="T1156" i="3"/>
  <c r="T1157" i="3"/>
  <c r="T1159" i="3"/>
  <c r="E525" i="7"/>
  <c r="F525" i="7"/>
  <c r="G525" i="7"/>
  <c r="H525" i="7"/>
  <c r="I525" i="7"/>
  <c r="J525" i="7"/>
  <c r="K525" i="7"/>
  <c r="L525" i="7"/>
  <c r="M525" i="7"/>
  <c r="N525" i="7"/>
  <c r="O525" i="7"/>
  <c r="Q525" i="7"/>
  <c r="S525" i="7"/>
  <c r="T525" i="7"/>
  <c r="U525" i="7"/>
  <c r="V525" i="7"/>
  <c r="W525" i="7"/>
  <c r="X525" i="7"/>
  <c r="Y525" i="7"/>
  <c r="Z525" i="7"/>
  <c r="AA525" i="7"/>
  <c r="AB525" i="7"/>
  <c r="AD525" i="7"/>
  <c r="AE525" i="7"/>
  <c r="E519" i="7"/>
  <c r="F519" i="7"/>
  <c r="G519" i="7"/>
  <c r="H519" i="7"/>
  <c r="I519" i="7"/>
  <c r="J519" i="7"/>
  <c r="K519" i="7"/>
  <c r="L519" i="7"/>
  <c r="M519" i="7"/>
  <c r="O519" i="7"/>
  <c r="P519" i="7"/>
  <c r="Q519" i="7"/>
  <c r="R519" i="7"/>
  <c r="S519" i="7"/>
  <c r="T519" i="7"/>
  <c r="U519" i="7"/>
  <c r="V519" i="7"/>
  <c r="W519" i="7"/>
  <c r="X519" i="7"/>
  <c r="Y519" i="7"/>
  <c r="Z519" i="7"/>
  <c r="AA519" i="7"/>
  <c r="AB519" i="7"/>
  <c r="AD519" i="7"/>
  <c r="AE519" i="7"/>
  <c r="E512" i="7"/>
  <c r="F512" i="7"/>
  <c r="H512" i="7"/>
  <c r="I512" i="7"/>
  <c r="J512" i="7"/>
  <c r="K512" i="7"/>
  <c r="L512" i="7"/>
  <c r="M512" i="7"/>
  <c r="N512" i="7"/>
  <c r="O512" i="7"/>
  <c r="P512" i="7"/>
  <c r="Q512" i="7"/>
  <c r="R512" i="7"/>
  <c r="S512" i="7"/>
  <c r="T512" i="7"/>
  <c r="U512" i="7"/>
  <c r="V512" i="7"/>
  <c r="W512" i="7"/>
  <c r="X512" i="7"/>
  <c r="Y512" i="7"/>
  <c r="Z512" i="7"/>
  <c r="AA512" i="7"/>
  <c r="AB512" i="7"/>
  <c r="AE512" i="7"/>
  <c r="E499" i="7"/>
  <c r="F499" i="7"/>
  <c r="G499" i="7"/>
  <c r="H499" i="7"/>
  <c r="I499" i="7"/>
  <c r="J499" i="7"/>
  <c r="K499" i="7"/>
  <c r="L499" i="7"/>
  <c r="M499" i="7"/>
  <c r="O499" i="7"/>
  <c r="P499" i="7"/>
  <c r="Q499" i="7"/>
  <c r="R499" i="7"/>
  <c r="S499" i="7"/>
  <c r="T499" i="7"/>
  <c r="U499" i="7"/>
  <c r="V499" i="7"/>
  <c r="W499" i="7"/>
  <c r="X499" i="7"/>
  <c r="Y499" i="7"/>
  <c r="Z499" i="7"/>
  <c r="AA499" i="7"/>
  <c r="AB499" i="7"/>
  <c r="AD499" i="7"/>
  <c r="AE499" i="7"/>
  <c r="E483" i="7"/>
  <c r="F483" i="7"/>
  <c r="G483" i="7"/>
  <c r="H483" i="7"/>
  <c r="I483" i="7"/>
  <c r="J483" i="7"/>
  <c r="K483" i="7"/>
  <c r="L483" i="7"/>
  <c r="M483" i="7"/>
  <c r="N483" i="7"/>
  <c r="O483" i="7"/>
  <c r="P483" i="7"/>
  <c r="Q483" i="7"/>
  <c r="S483" i="7"/>
  <c r="T483" i="7"/>
  <c r="U483" i="7"/>
  <c r="V483" i="7"/>
  <c r="W483" i="7"/>
  <c r="X483" i="7"/>
  <c r="Y483" i="7"/>
  <c r="Z483" i="7"/>
  <c r="AA483" i="7"/>
  <c r="AB483" i="7"/>
  <c r="AD483" i="7"/>
  <c r="AE483" i="7"/>
  <c r="E469" i="7"/>
  <c r="F469" i="7"/>
  <c r="H469" i="7"/>
  <c r="I469" i="7"/>
  <c r="J469" i="7"/>
  <c r="K469" i="7"/>
  <c r="L469" i="7"/>
  <c r="M469" i="7"/>
  <c r="N469" i="7"/>
  <c r="O469" i="7"/>
  <c r="P469" i="7"/>
  <c r="Q469" i="7"/>
  <c r="R469" i="7"/>
  <c r="S469" i="7"/>
  <c r="T469" i="7"/>
  <c r="U469" i="7"/>
  <c r="V469" i="7"/>
  <c r="W469" i="7"/>
  <c r="X469" i="7"/>
  <c r="Y469" i="7"/>
  <c r="Z469" i="7"/>
  <c r="AA469" i="7"/>
  <c r="AB469" i="7"/>
  <c r="AD469" i="7"/>
  <c r="AE469" i="7"/>
  <c r="E460" i="7"/>
  <c r="F460" i="7"/>
  <c r="G460" i="7"/>
  <c r="H460" i="7"/>
  <c r="I460" i="7"/>
  <c r="J460" i="7"/>
  <c r="K460" i="7"/>
  <c r="L460" i="7"/>
  <c r="M460" i="7"/>
  <c r="O460" i="7"/>
  <c r="P460" i="7"/>
  <c r="Q460" i="7"/>
  <c r="R460" i="7"/>
  <c r="S460" i="7"/>
  <c r="T460" i="7"/>
  <c r="U460" i="7"/>
  <c r="V460" i="7"/>
  <c r="W460" i="7"/>
  <c r="X460" i="7"/>
  <c r="Y460" i="7"/>
  <c r="Z460" i="7"/>
  <c r="AA460" i="7"/>
  <c r="AB460" i="7"/>
  <c r="AD460" i="7"/>
  <c r="AE460" i="7"/>
  <c r="E453" i="7"/>
  <c r="F453" i="7"/>
  <c r="G453" i="7"/>
  <c r="H453" i="7"/>
  <c r="I453" i="7"/>
  <c r="J453" i="7"/>
  <c r="K453" i="7"/>
  <c r="L453" i="7"/>
  <c r="M453" i="7"/>
  <c r="O453" i="7"/>
  <c r="P453" i="7"/>
  <c r="Q453" i="7"/>
  <c r="R453" i="7"/>
  <c r="S453" i="7"/>
  <c r="T453" i="7"/>
  <c r="U453" i="7"/>
  <c r="V453" i="7"/>
  <c r="W453" i="7"/>
  <c r="X453" i="7"/>
  <c r="Y453" i="7"/>
  <c r="Z453" i="7"/>
  <c r="AA453" i="7"/>
  <c r="AB453" i="7"/>
  <c r="AD453" i="7"/>
  <c r="AE453" i="7"/>
  <c r="E451" i="7"/>
  <c r="F451" i="7"/>
  <c r="G451" i="7"/>
  <c r="H451" i="7"/>
  <c r="I451" i="7"/>
  <c r="J451" i="7"/>
  <c r="K451" i="7"/>
  <c r="L451" i="7"/>
  <c r="M451" i="7"/>
  <c r="N451" i="7"/>
  <c r="O451" i="7"/>
  <c r="P451" i="7"/>
  <c r="Q451" i="7"/>
  <c r="R451" i="7"/>
  <c r="S451" i="7"/>
  <c r="T451" i="7"/>
  <c r="U451" i="7"/>
  <c r="V451" i="7"/>
  <c r="W451" i="7"/>
  <c r="X451" i="7"/>
  <c r="Y451" i="7"/>
  <c r="Z451" i="7"/>
  <c r="AA451" i="7"/>
  <c r="AB451" i="7"/>
  <c r="AD451" i="7"/>
  <c r="AE451" i="7"/>
  <c r="E449" i="7"/>
  <c r="F449" i="7"/>
  <c r="G449" i="7"/>
  <c r="H449" i="7"/>
  <c r="I449" i="7"/>
  <c r="J449" i="7"/>
  <c r="K449" i="7"/>
  <c r="L449" i="7"/>
  <c r="M449" i="7"/>
  <c r="N449" i="7"/>
  <c r="O449" i="7"/>
  <c r="P449" i="7"/>
  <c r="Q449" i="7"/>
  <c r="R449" i="7"/>
  <c r="S449" i="7"/>
  <c r="T449" i="7"/>
  <c r="U449" i="7"/>
  <c r="V449" i="7"/>
  <c r="W449" i="7"/>
  <c r="X449" i="7"/>
  <c r="Y449" i="7"/>
  <c r="Z449" i="7"/>
  <c r="AA449" i="7"/>
  <c r="AB449" i="7"/>
  <c r="AE449" i="7"/>
  <c r="E447" i="7"/>
  <c r="F447" i="7"/>
  <c r="G447" i="7"/>
  <c r="H447" i="7"/>
  <c r="I447" i="7"/>
  <c r="J447" i="7"/>
  <c r="K447" i="7"/>
  <c r="L447" i="7"/>
  <c r="M447" i="7"/>
  <c r="O447" i="7"/>
  <c r="P447" i="7"/>
  <c r="Q447" i="7"/>
  <c r="R447" i="7"/>
  <c r="S447" i="7"/>
  <c r="T447" i="7"/>
  <c r="U447" i="7"/>
  <c r="V447" i="7"/>
  <c r="W447" i="7"/>
  <c r="X447" i="7"/>
  <c r="Y447" i="7"/>
  <c r="Z447" i="7"/>
  <c r="AA447" i="7"/>
  <c r="AB447" i="7"/>
  <c r="AD447" i="7"/>
  <c r="AE447" i="7"/>
  <c r="E445" i="7"/>
  <c r="F445" i="7"/>
  <c r="G445" i="7"/>
  <c r="H445" i="7"/>
  <c r="I445" i="7"/>
  <c r="J445" i="7"/>
  <c r="K445" i="7"/>
  <c r="L445" i="7"/>
  <c r="M445" i="7"/>
  <c r="N445" i="7"/>
  <c r="O445" i="7"/>
  <c r="P445" i="7"/>
  <c r="Q445" i="7"/>
  <c r="R445" i="7"/>
  <c r="S445" i="7"/>
  <c r="T445" i="7"/>
  <c r="U445" i="7"/>
  <c r="V445" i="7"/>
  <c r="W445" i="7"/>
  <c r="X445" i="7"/>
  <c r="Y445" i="7"/>
  <c r="Z445" i="7"/>
  <c r="AA445" i="7"/>
  <c r="AB445" i="7"/>
  <c r="AD445" i="7"/>
  <c r="AE445" i="7"/>
  <c r="E443" i="7"/>
  <c r="F443" i="7"/>
  <c r="G443" i="7"/>
  <c r="H443" i="7"/>
  <c r="I443" i="7"/>
  <c r="J443" i="7"/>
  <c r="K443" i="7"/>
  <c r="L443" i="7"/>
  <c r="M443" i="7"/>
  <c r="N443" i="7"/>
  <c r="O443" i="7"/>
  <c r="P443" i="7"/>
  <c r="Q443" i="7"/>
  <c r="R443" i="7"/>
  <c r="S443" i="7"/>
  <c r="T443" i="7"/>
  <c r="U443" i="7"/>
  <c r="V443" i="7"/>
  <c r="W443" i="7"/>
  <c r="X443" i="7"/>
  <c r="Y443" i="7"/>
  <c r="Z443" i="7"/>
  <c r="AA443" i="7"/>
  <c r="AB443" i="7"/>
  <c r="AD443" i="7"/>
  <c r="AE443" i="7"/>
  <c r="E441" i="7"/>
  <c r="F441" i="7"/>
  <c r="G441" i="7"/>
  <c r="H441" i="7"/>
  <c r="I441" i="7"/>
  <c r="J441" i="7"/>
  <c r="K441" i="7"/>
  <c r="L441" i="7"/>
  <c r="M441" i="7"/>
  <c r="O441" i="7"/>
  <c r="P441" i="7"/>
  <c r="Q441" i="7"/>
  <c r="R441" i="7"/>
  <c r="S441" i="7"/>
  <c r="T441" i="7"/>
  <c r="U441" i="7"/>
  <c r="V441" i="7"/>
  <c r="W441" i="7"/>
  <c r="X441" i="7"/>
  <c r="Y441" i="7"/>
  <c r="Z441" i="7"/>
  <c r="AA441" i="7"/>
  <c r="AB441" i="7"/>
  <c r="AD441" i="7"/>
  <c r="AE441" i="7"/>
  <c r="E431" i="7"/>
  <c r="F431" i="7"/>
  <c r="G431" i="7"/>
  <c r="H431" i="7"/>
  <c r="I431" i="7"/>
  <c r="J431" i="7"/>
  <c r="K431" i="7"/>
  <c r="L431" i="7"/>
  <c r="M431" i="7"/>
  <c r="O431" i="7"/>
  <c r="P431" i="7"/>
  <c r="Q431" i="7"/>
  <c r="R431" i="7"/>
  <c r="S431" i="7"/>
  <c r="T431" i="7"/>
  <c r="U431" i="7"/>
  <c r="V431" i="7"/>
  <c r="W431" i="7"/>
  <c r="X431" i="7"/>
  <c r="Y431" i="7"/>
  <c r="Z431" i="7"/>
  <c r="AA431" i="7"/>
  <c r="AB431" i="7"/>
  <c r="AD431" i="7"/>
  <c r="AE431" i="7"/>
  <c r="E429" i="7"/>
  <c r="F429" i="7"/>
  <c r="G429" i="7"/>
  <c r="H429" i="7"/>
  <c r="I429" i="7"/>
  <c r="J429" i="7"/>
  <c r="K429" i="7"/>
  <c r="L429" i="7"/>
  <c r="M429" i="7"/>
  <c r="O429" i="7"/>
  <c r="P429" i="7"/>
  <c r="Q429" i="7"/>
  <c r="R429" i="7"/>
  <c r="S429" i="7"/>
  <c r="T429" i="7"/>
  <c r="U429" i="7"/>
  <c r="V429" i="7"/>
  <c r="W429" i="7"/>
  <c r="X429" i="7"/>
  <c r="Y429" i="7"/>
  <c r="Z429" i="7"/>
  <c r="AA429" i="7"/>
  <c r="AB429" i="7"/>
  <c r="AD429" i="7"/>
  <c r="AE429" i="7"/>
  <c r="E423" i="7"/>
  <c r="F423" i="7"/>
  <c r="G423" i="7"/>
  <c r="H423" i="7"/>
  <c r="I423" i="7"/>
  <c r="J423" i="7"/>
  <c r="K423" i="7"/>
  <c r="L423" i="7"/>
  <c r="M423" i="7"/>
  <c r="O423" i="7"/>
  <c r="P423" i="7"/>
  <c r="Q423" i="7"/>
  <c r="R423" i="7"/>
  <c r="S423" i="7"/>
  <c r="T423" i="7"/>
  <c r="U423" i="7"/>
  <c r="V423" i="7"/>
  <c r="W423" i="7"/>
  <c r="X423" i="7"/>
  <c r="Y423" i="7"/>
  <c r="Z423" i="7"/>
  <c r="AA423" i="7"/>
  <c r="AB423" i="7"/>
  <c r="AD423" i="7"/>
  <c r="AE423" i="7"/>
  <c r="E414" i="7"/>
  <c r="F414" i="7"/>
  <c r="H414" i="7"/>
  <c r="I414" i="7"/>
  <c r="J414" i="7"/>
  <c r="K414" i="7"/>
  <c r="L414" i="7"/>
  <c r="M414" i="7"/>
  <c r="N414" i="7"/>
  <c r="O414" i="7"/>
  <c r="P414" i="7"/>
  <c r="Q414" i="7"/>
  <c r="R414" i="7"/>
  <c r="S414" i="7"/>
  <c r="T414" i="7"/>
  <c r="U414" i="7"/>
  <c r="V414" i="7"/>
  <c r="W414" i="7"/>
  <c r="X414" i="7"/>
  <c r="Y414" i="7"/>
  <c r="Z414" i="7"/>
  <c r="AA414" i="7"/>
  <c r="AB414" i="7"/>
  <c r="AD414" i="7"/>
  <c r="AE414" i="7"/>
  <c r="E411" i="7"/>
  <c r="F411" i="7"/>
  <c r="G411" i="7"/>
  <c r="H411" i="7"/>
  <c r="I411" i="7"/>
  <c r="J411" i="7"/>
  <c r="K411" i="7"/>
  <c r="L411" i="7"/>
  <c r="M411" i="7"/>
  <c r="O411" i="7"/>
  <c r="P411" i="7"/>
  <c r="Q411" i="7"/>
  <c r="R411" i="7"/>
  <c r="S411" i="7"/>
  <c r="T411" i="7"/>
  <c r="U411" i="7"/>
  <c r="V411" i="7"/>
  <c r="W411" i="7"/>
  <c r="X411" i="7"/>
  <c r="Y411" i="7"/>
  <c r="Z411" i="7"/>
  <c r="AA411" i="7"/>
  <c r="AB411" i="7"/>
  <c r="AD411" i="7"/>
  <c r="AE411" i="7"/>
  <c r="E403" i="7"/>
  <c r="F403" i="7"/>
  <c r="G403" i="7"/>
  <c r="H403" i="7"/>
  <c r="I403" i="7"/>
  <c r="J403" i="7"/>
  <c r="K403" i="7"/>
  <c r="L403" i="7"/>
  <c r="M403" i="7"/>
  <c r="O403" i="7"/>
  <c r="P403" i="7"/>
  <c r="Q403" i="7"/>
  <c r="R403" i="7"/>
  <c r="S403" i="7"/>
  <c r="T403" i="7"/>
  <c r="U403" i="7"/>
  <c r="V403" i="7"/>
  <c r="W403" i="7"/>
  <c r="X403" i="7"/>
  <c r="Y403" i="7"/>
  <c r="Z403" i="7"/>
  <c r="AA403" i="7"/>
  <c r="AB403" i="7"/>
  <c r="AD403" i="7"/>
  <c r="AE403" i="7"/>
  <c r="E401" i="7"/>
  <c r="F401" i="7"/>
  <c r="G401" i="7"/>
  <c r="H401" i="7"/>
  <c r="I401" i="7"/>
  <c r="J401" i="7"/>
  <c r="K401" i="7"/>
  <c r="L401" i="7"/>
  <c r="M401" i="7"/>
  <c r="N401" i="7"/>
  <c r="O401" i="7"/>
  <c r="P401" i="7"/>
  <c r="Q401" i="7"/>
  <c r="R401" i="7"/>
  <c r="S401" i="7"/>
  <c r="T401" i="7"/>
  <c r="U401" i="7"/>
  <c r="V401" i="7"/>
  <c r="W401" i="7"/>
  <c r="X401" i="7"/>
  <c r="Y401" i="7"/>
  <c r="Z401" i="7"/>
  <c r="AA401" i="7"/>
  <c r="AB401" i="7"/>
  <c r="AD401" i="7"/>
  <c r="AE401" i="7"/>
  <c r="E399" i="7"/>
  <c r="F399" i="7"/>
  <c r="G399" i="7"/>
  <c r="H399" i="7"/>
  <c r="I399" i="7"/>
  <c r="J399" i="7"/>
  <c r="K399" i="7"/>
  <c r="L399" i="7"/>
  <c r="M399" i="7"/>
  <c r="N399" i="7"/>
  <c r="O399" i="7"/>
  <c r="P399" i="7"/>
  <c r="Q399" i="7"/>
  <c r="R399" i="7"/>
  <c r="S399" i="7"/>
  <c r="T399" i="7"/>
  <c r="U399" i="7"/>
  <c r="V399" i="7"/>
  <c r="W399" i="7"/>
  <c r="X399" i="7"/>
  <c r="Y399" i="7"/>
  <c r="Z399" i="7"/>
  <c r="AA399" i="7"/>
  <c r="AB399" i="7"/>
  <c r="AE399" i="7"/>
  <c r="E391" i="7"/>
  <c r="F391" i="7"/>
  <c r="G391" i="7"/>
  <c r="H391" i="7"/>
  <c r="I391" i="7"/>
  <c r="J391" i="7"/>
  <c r="K391" i="7"/>
  <c r="L391" i="7"/>
  <c r="M391" i="7"/>
  <c r="O391" i="7"/>
  <c r="P391" i="7"/>
  <c r="Q391" i="7"/>
  <c r="R391" i="7"/>
  <c r="S391" i="7"/>
  <c r="T391" i="7"/>
  <c r="U391" i="7"/>
  <c r="V391" i="7"/>
  <c r="W391" i="7"/>
  <c r="X391" i="7"/>
  <c r="Y391" i="7"/>
  <c r="Z391" i="7"/>
  <c r="AA391" i="7"/>
  <c r="AB391" i="7"/>
  <c r="AD391" i="7"/>
  <c r="AE391" i="7"/>
  <c r="E389" i="7"/>
  <c r="F389" i="7"/>
  <c r="G389" i="7"/>
  <c r="H389" i="7"/>
  <c r="I389" i="7"/>
  <c r="J389" i="7"/>
  <c r="K389" i="7"/>
  <c r="L389" i="7"/>
  <c r="M389" i="7"/>
  <c r="N389" i="7"/>
  <c r="O389" i="7"/>
  <c r="P389" i="7"/>
  <c r="Q389" i="7"/>
  <c r="R389" i="7"/>
  <c r="S389" i="7"/>
  <c r="T389" i="7"/>
  <c r="U389" i="7"/>
  <c r="V389" i="7"/>
  <c r="W389" i="7"/>
  <c r="X389" i="7"/>
  <c r="Y389" i="7"/>
  <c r="Z389" i="7"/>
  <c r="AA389" i="7"/>
  <c r="AB389" i="7"/>
  <c r="AD389" i="7"/>
  <c r="AE389" i="7"/>
  <c r="E385" i="7"/>
  <c r="F385" i="7"/>
  <c r="G385" i="7"/>
  <c r="H385" i="7"/>
  <c r="I385" i="7"/>
  <c r="J385" i="7"/>
  <c r="K385" i="7"/>
  <c r="L385" i="7"/>
  <c r="M385" i="7"/>
  <c r="N385" i="7"/>
  <c r="O385" i="7"/>
  <c r="P385" i="7"/>
  <c r="Q385" i="7"/>
  <c r="R385" i="7"/>
  <c r="S385" i="7"/>
  <c r="T385" i="7"/>
  <c r="U385" i="7"/>
  <c r="V385" i="7"/>
  <c r="W385" i="7"/>
  <c r="X385" i="7"/>
  <c r="Y385" i="7"/>
  <c r="Z385" i="7"/>
  <c r="AA385" i="7"/>
  <c r="AB385" i="7"/>
  <c r="AD385" i="7"/>
  <c r="AE385" i="7"/>
  <c r="E383" i="7"/>
  <c r="F383" i="7"/>
  <c r="G383" i="7"/>
  <c r="H383" i="7"/>
  <c r="I383" i="7"/>
  <c r="J383" i="7"/>
  <c r="K383" i="7"/>
  <c r="L383" i="7"/>
  <c r="M383" i="7"/>
  <c r="O383" i="7"/>
  <c r="P383" i="7"/>
  <c r="Q383" i="7"/>
  <c r="R383" i="7"/>
  <c r="S383" i="7"/>
  <c r="T383" i="7"/>
  <c r="U383" i="7"/>
  <c r="V383" i="7"/>
  <c r="W383" i="7"/>
  <c r="X383" i="7"/>
  <c r="Y383" i="7"/>
  <c r="Z383" i="7"/>
  <c r="AA383" i="7"/>
  <c r="AB383" i="7"/>
  <c r="AD383" i="7"/>
  <c r="AE383" i="7"/>
  <c r="E380" i="7"/>
  <c r="F380" i="7"/>
  <c r="G380" i="7"/>
  <c r="H380" i="7"/>
  <c r="I380" i="7"/>
  <c r="J380" i="7"/>
  <c r="K380" i="7"/>
  <c r="L380" i="7"/>
  <c r="M380" i="7"/>
  <c r="N380" i="7"/>
  <c r="O380" i="7"/>
  <c r="P380" i="7"/>
  <c r="Q380" i="7"/>
  <c r="R380" i="7"/>
  <c r="S380" i="7"/>
  <c r="T380" i="7"/>
  <c r="U380" i="7"/>
  <c r="V380" i="7"/>
  <c r="W380" i="7"/>
  <c r="X380" i="7"/>
  <c r="Y380" i="7"/>
  <c r="Z380" i="7"/>
  <c r="AA380" i="7"/>
  <c r="AB380" i="7"/>
  <c r="AD380" i="7"/>
  <c r="AE380" i="7"/>
  <c r="E376" i="7"/>
  <c r="F376" i="7"/>
  <c r="G376" i="7"/>
  <c r="H376" i="7"/>
  <c r="I376" i="7"/>
  <c r="J376" i="7"/>
  <c r="K376" i="7"/>
  <c r="L376" i="7"/>
  <c r="M376" i="7"/>
  <c r="O376" i="7"/>
  <c r="P376" i="7"/>
  <c r="Q376" i="7"/>
  <c r="S376" i="7"/>
  <c r="T376" i="7"/>
  <c r="V376" i="7"/>
  <c r="W376" i="7"/>
  <c r="X376" i="7"/>
  <c r="Y376" i="7"/>
  <c r="Z376" i="7"/>
  <c r="AA376" i="7"/>
  <c r="AB376" i="7"/>
  <c r="AD376" i="7"/>
  <c r="AE376" i="7"/>
  <c r="E374" i="7"/>
  <c r="F374" i="7"/>
  <c r="G374" i="7"/>
  <c r="H374" i="7"/>
  <c r="I374" i="7"/>
  <c r="J374" i="7"/>
  <c r="K374" i="7"/>
  <c r="L374" i="7"/>
  <c r="M374" i="7"/>
  <c r="O374" i="7"/>
  <c r="P374" i="7"/>
  <c r="Q374" i="7"/>
  <c r="R374" i="7"/>
  <c r="S374" i="7"/>
  <c r="T374" i="7"/>
  <c r="U374" i="7"/>
  <c r="V374" i="7"/>
  <c r="W374" i="7"/>
  <c r="X374" i="7"/>
  <c r="Y374" i="7"/>
  <c r="Z374" i="7"/>
  <c r="AA374" i="7"/>
  <c r="AB374" i="7"/>
  <c r="AD374" i="7"/>
  <c r="AE374" i="7"/>
  <c r="E372" i="7"/>
  <c r="F372" i="7"/>
  <c r="G372" i="7"/>
  <c r="H372" i="7"/>
  <c r="I372" i="7"/>
  <c r="J372" i="7"/>
  <c r="K372" i="7"/>
  <c r="L372" i="7"/>
  <c r="M372" i="7"/>
  <c r="N372" i="7"/>
  <c r="O372" i="7"/>
  <c r="P372" i="7"/>
  <c r="Q372" i="7"/>
  <c r="R372" i="7"/>
  <c r="S372" i="7"/>
  <c r="T372" i="7"/>
  <c r="U372" i="7"/>
  <c r="V372" i="7"/>
  <c r="W372" i="7"/>
  <c r="X372" i="7"/>
  <c r="Y372" i="7"/>
  <c r="Z372" i="7"/>
  <c r="AA372" i="7"/>
  <c r="AB372" i="7"/>
  <c r="AD372" i="7"/>
  <c r="AE372" i="7"/>
  <c r="E369" i="7"/>
  <c r="F369" i="7"/>
  <c r="G369" i="7"/>
  <c r="H369" i="7"/>
  <c r="I369" i="7"/>
  <c r="J369" i="7"/>
  <c r="K369" i="7"/>
  <c r="L369" i="7"/>
  <c r="M369" i="7"/>
  <c r="N369" i="7"/>
  <c r="O369" i="7"/>
  <c r="P369" i="7"/>
  <c r="Q369" i="7"/>
  <c r="R369" i="7"/>
  <c r="S369" i="7"/>
  <c r="T369" i="7"/>
  <c r="U369" i="7"/>
  <c r="V369" i="7"/>
  <c r="W369" i="7"/>
  <c r="X369" i="7"/>
  <c r="Y369" i="7"/>
  <c r="Z369" i="7"/>
  <c r="AA369" i="7"/>
  <c r="AB369" i="7"/>
  <c r="AD369" i="7"/>
  <c r="AE369" i="7"/>
  <c r="E354" i="7"/>
  <c r="F354" i="7"/>
  <c r="H354" i="7"/>
  <c r="I354" i="7"/>
  <c r="J354" i="7"/>
  <c r="K354" i="7"/>
  <c r="L354" i="7"/>
  <c r="M354" i="7"/>
  <c r="O354" i="7"/>
  <c r="P354" i="7"/>
  <c r="Q354" i="7"/>
  <c r="R354" i="7"/>
  <c r="S354" i="7"/>
  <c r="T354" i="7"/>
  <c r="U354" i="7"/>
  <c r="V354" i="7"/>
  <c r="W354" i="7"/>
  <c r="X354" i="7"/>
  <c r="Y354" i="7"/>
  <c r="Z354" i="7"/>
  <c r="AA354" i="7"/>
  <c r="AB354" i="7"/>
  <c r="AD354" i="7"/>
  <c r="AE354" i="7"/>
  <c r="E352" i="7"/>
  <c r="F352" i="7"/>
  <c r="G352" i="7"/>
  <c r="H352" i="7"/>
  <c r="I352" i="7"/>
  <c r="J352" i="7"/>
  <c r="K352" i="7"/>
  <c r="L352" i="7"/>
  <c r="M352" i="7"/>
  <c r="N352" i="7"/>
  <c r="O352" i="7"/>
  <c r="P352" i="7"/>
  <c r="Q352" i="7"/>
  <c r="R352" i="7"/>
  <c r="S352" i="7"/>
  <c r="T352" i="7"/>
  <c r="U352" i="7"/>
  <c r="V352" i="7"/>
  <c r="W352" i="7"/>
  <c r="X352" i="7"/>
  <c r="Y352" i="7"/>
  <c r="Z352" i="7"/>
  <c r="AA352" i="7"/>
  <c r="AB352" i="7"/>
  <c r="AD352" i="7"/>
  <c r="AE352" i="7"/>
  <c r="E349" i="7"/>
  <c r="F349" i="7"/>
  <c r="G349" i="7"/>
  <c r="I349" i="7"/>
  <c r="J349" i="7"/>
  <c r="K349" i="7"/>
  <c r="L349" i="7"/>
  <c r="M349" i="7"/>
  <c r="O349" i="7"/>
  <c r="P349" i="7"/>
  <c r="Q349" i="7"/>
  <c r="R349" i="7"/>
  <c r="S349" i="7"/>
  <c r="T349" i="7"/>
  <c r="U349" i="7"/>
  <c r="V349" i="7"/>
  <c r="W349" i="7"/>
  <c r="X349" i="7"/>
  <c r="Y349" i="7"/>
  <c r="Z349" i="7"/>
  <c r="AA349" i="7"/>
  <c r="AB349" i="7"/>
  <c r="AD349" i="7"/>
  <c r="AE349" i="7"/>
  <c r="E346" i="7"/>
  <c r="F346" i="7"/>
  <c r="H346" i="7"/>
  <c r="I346" i="7"/>
  <c r="J346" i="7"/>
  <c r="K346" i="7"/>
  <c r="L346" i="7"/>
  <c r="M346" i="7"/>
  <c r="O346" i="7"/>
  <c r="P346" i="7"/>
  <c r="Q346" i="7"/>
  <c r="R346" i="7"/>
  <c r="S346" i="7"/>
  <c r="T346" i="7"/>
  <c r="U346" i="7"/>
  <c r="V346" i="7"/>
  <c r="W346" i="7"/>
  <c r="X346" i="7"/>
  <c r="Y346" i="7"/>
  <c r="Z346" i="7"/>
  <c r="AA346" i="7"/>
  <c r="AB346" i="7"/>
  <c r="AD346" i="7"/>
  <c r="AE346" i="7"/>
  <c r="E343" i="7"/>
  <c r="F343" i="7"/>
  <c r="G343" i="7"/>
  <c r="H343" i="7"/>
  <c r="I343" i="7"/>
  <c r="J343" i="7"/>
  <c r="K343" i="7"/>
  <c r="L343" i="7"/>
  <c r="M343" i="7"/>
  <c r="O343" i="7"/>
  <c r="P343" i="7"/>
  <c r="Q343" i="7"/>
  <c r="R343" i="7"/>
  <c r="S343" i="7"/>
  <c r="T343" i="7"/>
  <c r="U343" i="7"/>
  <c r="V343" i="7"/>
  <c r="W343" i="7"/>
  <c r="X343" i="7"/>
  <c r="Y343" i="7"/>
  <c r="Z343" i="7"/>
  <c r="AA343" i="7"/>
  <c r="AB343" i="7"/>
  <c r="AD343" i="7"/>
  <c r="AE343" i="7"/>
  <c r="E339" i="7"/>
  <c r="F339" i="7"/>
  <c r="G339" i="7"/>
  <c r="H339" i="7"/>
  <c r="I339" i="7"/>
  <c r="J339" i="7"/>
  <c r="K339" i="7"/>
  <c r="L339" i="7"/>
  <c r="M339" i="7"/>
  <c r="N339" i="7"/>
  <c r="O339" i="7"/>
  <c r="P339" i="7"/>
  <c r="Q339" i="7"/>
  <c r="R339" i="7"/>
  <c r="S339" i="7"/>
  <c r="T339" i="7"/>
  <c r="U339" i="7"/>
  <c r="V339" i="7"/>
  <c r="W339" i="7"/>
  <c r="X339" i="7"/>
  <c r="Y339" i="7"/>
  <c r="Z339" i="7"/>
  <c r="AA339" i="7"/>
  <c r="AB339" i="7"/>
  <c r="AD339" i="7"/>
  <c r="AE339" i="7"/>
  <c r="E334" i="7"/>
  <c r="F334" i="7"/>
  <c r="G334" i="7"/>
  <c r="H334" i="7"/>
  <c r="I334" i="7"/>
  <c r="J334" i="7"/>
  <c r="K334" i="7"/>
  <c r="L334" i="7"/>
  <c r="M334" i="7"/>
  <c r="N334" i="7"/>
  <c r="O334" i="7"/>
  <c r="P334" i="7"/>
  <c r="Q334" i="7"/>
  <c r="R334" i="7"/>
  <c r="S334" i="7"/>
  <c r="T334" i="7"/>
  <c r="U334" i="7"/>
  <c r="V334" i="7"/>
  <c r="W334" i="7"/>
  <c r="X334" i="7"/>
  <c r="Y334" i="7"/>
  <c r="Z334" i="7"/>
  <c r="AA334" i="7"/>
  <c r="AB334" i="7"/>
  <c r="AD334" i="7"/>
  <c r="AE334" i="7"/>
  <c r="E321" i="7"/>
  <c r="F321" i="7"/>
  <c r="G321" i="7"/>
  <c r="H321" i="7"/>
  <c r="I321" i="7"/>
  <c r="J321" i="7"/>
  <c r="K321" i="7"/>
  <c r="L321" i="7"/>
  <c r="M321" i="7"/>
  <c r="N321" i="7"/>
  <c r="O321" i="7"/>
  <c r="P321" i="7"/>
  <c r="Q321" i="7"/>
  <c r="S321" i="7"/>
  <c r="T321" i="7"/>
  <c r="U321" i="7"/>
  <c r="V321" i="7"/>
  <c r="W321" i="7"/>
  <c r="X321" i="7"/>
  <c r="Y321" i="7"/>
  <c r="Z321" i="7"/>
  <c r="AA321" i="7"/>
  <c r="AB321" i="7"/>
  <c r="AD321" i="7"/>
  <c r="AE321" i="7"/>
  <c r="E305" i="7"/>
  <c r="F305" i="7"/>
  <c r="G305" i="7"/>
  <c r="H305" i="7"/>
  <c r="I305" i="7"/>
  <c r="J305" i="7"/>
  <c r="K305" i="7"/>
  <c r="L305" i="7"/>
  <c r="M305" i="7"/>
  <c r="O305" i="7"/>
  <c r="P305" i="7"/>
  <c r="Q305" i="7"/>
  <c r="S305" i="7"/>
  <c r="T305" i="7"/>
  <c r="U305" i="7"/>
  <c r="V305" i="7"/>
  <c r="W305" i="7"/>
  <c r="X305" i="7"/>
  <c r="Y305" i="7"/>
  <c r="Z305" i="7"/>
  <c r="AA305" i="7"/>
  <c r="AB305" i="7"/>
  <c r="AD305" i="7"/>
  <c r="AE305" i="7"/>
  <c r="E303" i="7"/>
  <c r="F303" i="7"/>
  <c r="G303" i="7"/>
  <c r="H303" i="7"/>
  <c r="I303" i="7"/>
  <c r="J303" i="7"/>
  <c r="K303" i="7"/>
  <c r="L303" i="7"/>
  <c r="M303" i="7"/>
  <c r="O303" i="7"/>
  <c r="P303" i="7"/>
  <c r="Q303" i="7"/>
  <c r="R303" i="7"/>
  <c r="S303" i="7"/>
  <c r="T303" i="7"/>
  <c r="U303" i="7"/>
  <c r="V303" i="7"/>
  <c r="W303" i="7"/>
  <c r="X303" i="7"/>
  <c r="Y303" i="7"/>
  <c r="Z303" i="7"/>
  <c r="AA303" i="7"/>
  <c r="AB303" i="7"/>
  <c r="AD303" i="7"/>
  <c r="AE303" i="7"/>
  <c r="E297" i="7"/>
  <c r="F297" i="7"/>
  <c r="G297" i="7"/>
  <c r="H297" i="7"/>
  <c r="I297" i="7"/>
  <c r="J297" i="7"/>
  <c r="K297" i="7"/>
  <c r="L297" i="7"/>
  <c r="M297" i="7"/>
  <c r="O297" i="7"/>
  <c r="P297" i="7"/>
  <c r="Q297" i="7"/>
  <c r="R297" i="7"/>
  <c r="S297" i="7"/>
  <c r="T297" i="7"/>
  <c r="U297" i="7"/>
  <c r="V297" i="7"/>
  <c r="W297" i="7"/>
  <c r="X297" i="7"/>
  <c r="Y297" i="7"/>
  <c r="Z297" i="7"/>
  <c r="AA297" i="7"/>
  <c r="AB297" i="7"/>
  <c r="AD297" i="7"/>
  <c r="AE297" i="7"/>
  <c r="E291" i="7"/>
  <c r="F291" i="7"/>
  <c r="G291" i="7"/>
  <c r="H291" i="7"/>
  <c r="I291" i="7"/>
  <c r="J291" i="7"/>
  <c r="K291" i="7"/>
  <c r="L291" i="7"/>
  <c r="M291" i="7"/>
  <c r="N291" i="7"/>
  <c r="O291" i="7"/>
  <c r="P291" i="7"/>
  <c r="Q291" i="7"/>
  <c r="R291" i="7"/>
  <c r="S291" i="7"/>
  <c r="T291" i="7"/>
  <c r="U291" i="7"/>
  <c r="V291" i="7"/>
  <c r="W291" i="7"/>
  <c r="X291" i="7"/>
  <c r="Y291" i="7"/>
  <c r="Z291" i="7"/>
  <c r="AA291" i="7"/>
  <c r="AB291" i="7"/>
  <c r="AD291" i="7"/>
  <c r="AE291" i="7"/>
  <c r="E288" i="7"/>
  <c r="F288" i="7"/>
  <c r="G288" i="7"/>
  <c r="H288" i="7"/>
  <c r="I288" i="7"/>
  <c r="J288" i="7"/>
  <c r="K288" i="7"/>
  <c r="L288" i="7"/>
  <c r="M288" i="7"/>
  <c r="O288" i="7"/>
  <c r="P288" i="7"/>
  <c r="Q288" i="7"/>
  <c r="R288" i="7"/>
  <c r="S288" i="7"/>
  <c r="T288" i="7"/>
  <c r="U288" i="7"/>
  <c r="V288" i="7"/>
  <c r="W288" i="7"/>
  <c r="X288" i="7"/>
  <c r="Y288" i="7"/>
  <c r="Z288" i="7"/>
  <c r="AA288" i="7"/>
  <c r="AB288" i="7"/>
  <c r="AD288" i="7"/>
  <c r="AE288" i="7"/>
  <c r="E286" i="7"/>
  <c r="F286" i="7"/>
  <c r="G286" i="7"/>
  <c r="H286" i="7"/>
  <c r="I286" i="7"/>
  <c r="J286" i="7"/>
  <c r="K286" i="7"/>
  <c r="L286" i="7"/>
  <c r="M286" i="7"/>
  <c r="N286" i="7"/>
  <c r="O286" i="7"/>
  <c r="P286" i="7"/>
  <c r="Q286" i="7"/>
  <c r="R286" i="7"/>
  <c r="S286" i="7"/>
  <c r="T286" i="7"/>
  <c r="U286" i="7"/>
  <c r="W286" i="7"/>
  <c r="X286" i="7"/>
  <c r="Y286" i="7"/>
  <c r="Z286" i="7"/>
  <c r="AA286" i="7"/>
  <c r="AB286" i="7"/>
  <c r="AD286" i="7"/>
  <c r="AE286" i="7"/>
  <c r="E281" i="7"/>
  <c r="F281" i="7"/>
  <c r="H281" i="7"/>
  <c r="I281" i="7"/>
  <c r="J281" i="7"/>
  <c r="K281" i="7"/>
  <c r="L281" i="7"/>
  <c r="M281" i="7"/>
  <c r="N281" i="7"/>
  <c r="O281" i="7"/>
  <c r="P281" i="7"/>
  <c r="Q281" i="7"/>
  <c r="R281" i="7"/>
  <c r="S281" i="7"/>
  <c r="T281" i="7"/>
  <c r="U281" i="7"/>
  <c r="V281" i="7"/>
  <c r="W281" i="7"/>
  <c r="X281" i="7"/>
  <c r="Y281" i="7"/>
  <c r="Z281" i="7"/>
  <c r="AA281" i="7"/>
  <c r="AB281" i="7"/>
  <c r="AD281" i="7"/>
  <c r="AE281" i="7"/>
  <c r="E274" i="7"/>
  <c r="F274" i="7"/>
  <c r="G274" i="7"/>
  <c r="H274" i="7"/>
  <c r="I274" i="7"/>
  <c r="J274" i="7"/>
  <c r="K274" i="7"/>
  <c r="L274" i="7"/>
  <c r="M274" i="7"/>
  <c r="N274" i="7"/>
  <c r="O274" i="7"/>
  <c r="P274" i="7"/>
  <c r="Q274" i="7"/>
  <c r="S274" i="7"/>
  <c r="T274" i="7"/>
  <c r="U274" i="7"/>
  <c r="V274" i="7"/>
  <c r="W274" i="7"/>
  <c r="X274" i="7"/>
  <c r="Y274" i="7"/>
  <c r="Z274" i="7"/>
  <c r="AA274" i="7"/>
  <c r="AB274" i="7"/>
  <c r="AD274" i="7"/>
  <c r="AE274" i="7"/>
  <c r="E266" i="7"/>
  <c r="F266" i="7"/>
  <c r="G266" i="7"/>
  <c r="H266" i="7"/>
  <c r="I266" i="7"/>
  <c r="J266" i="7"/>
  <c r="K266" i="7"/>
  <c r="L266" i="7"/>
  <c r="M266" i="7"/>
  <c r="O266" i="7"/>
  <c r="P266" i="7"/>
  <c r="Q266" i="7"/>
  <c r="R266" i="7"/>
  <c r="S266" i="7"/>
  <c r="T266" i="7"/>
  <c r="U266" i="7"/>
  <c r="V266" i="7"/>
  <c r="W266" i="7"/>
  <c r="X266" i="7"/>
  <c r="Y266" i="7"/>
  <c r="Z266" i="7"/>
  <c r="AA266" i="7"/>
  <c r="AB266" i="7"/>
  <c r="AD266" i="7"/>
  <c r="AE266" i="7"/>
  <c r="E236" i="7"/>
  <c r="F236" i="7"/>
  <c r="G236" i="7"/>
  <c r="H236" i="7"/>
  <c r="I236" i="7"/>
  <c r="J236" i="7"/>
  <c r="K236" i="7"/>
  <c r="L236" i="7"/>
  <c r="M236" i="7"/>
  <c r="O236" i="7"/>
  <c r="P236" i="7"/>
  <c r="Q236" i="7"/>
  <c r="R236" i="7"/>
  <c r="S236" i="7"/>
  <c r="T236" i="7"/>
  <c r="U236" i="7"/>
  <c r="V236" i="7"/>
  <c r="W236" i="7"/>
  <c r="X236" i="7"/>
  <c r="Y236" i="7"/>
  <c r="Z236" i="7"/>
  <c r="AA236" i="7"/>
  <c r="AB236" i="7"/>
  <c r="AD236" i="7"/>
  <c r="AE236" i="7"/>
  <c r="E230" i="7"/>
  <c r="F230" i="7"/>
  <c r="G230" i="7"/>
  <c r="H230" i="7"/>
  <c r="I230" i="7"/>
  <c r="J230" i="7"/>
  <c r="K230" i="7"/>
  <c r="L230" i="7"/>
  <c r="M230" i="7"/>
  <c r="O230" i="7"/>
  <c r="P230" i="7"/>
  <c r="Q230" i="7"/>
  <c r="R230" i="7"/>
  <c r="S230" i="7"/>
  <c r="T230" i="7"/>
  <c r="U230" i="7"/>
  <c r="V230" i="7"/>
  <c r="W230" i="7"/>
  <c r="X230" i="7"/>
  <c r="Y230" i="7"/>
  <c r="Z230" i="7"/>
  <c r="AA230" i="7"/>
  <c r="AB230" i="7"/>
  <c r="AD230" i="7"/>
  <c r="AE230" i="7"/>
  <c r="E199" i="7"/>
  <c r="F199" i="7"/>
  <c r="G199" i="7"/>
  <c r="H199" i="7"/>
  <c r="I199" i="7"/>
  <c r="J199" i="7"/>
  <c r="K199" i="7"/>
  <c r="L199" i="7"/>
  <c r="M199" i="7"/>
  <c r="O199" i="7"/>
  <c r="P199" i="7"/>
  <c r="Q199" i="7"/>
  <c r="R199" i="7"/>
  <c r="S199" i="7"/>
  <c r="T199" i="7"/>
  <c r="U199" i="7"/>
  <c r="V199" i="7"/>
  <c r="W199" i="7"/>
  <c r="X199" i="7"/>
  <c r="Y199" i="7"/>
  <c r="Z199" i="7"/>
  <c r="AA199" i="7"/>
  <c r="AB199" i="7"/>
  <c r="AE199" i="7"/>
  <c r="E161" i="7"/>
  <c r="F161" i="7"/>
  <c r="G161" i="7"/>
  <c r="H161" i="7"/>
  <c r="I161" i="7"/>
  <c r="J161" i="7"/>
  <c r="K161" i="7"/>
  <c r="L161" i="7"/>
  <c r="M161" i="7"/>
  <c r="N161" i="7"/>
  <c r="O161" i="7"/>
  <c r="P161" i="7"/>
  <c r="Q161" i="7"/>
  <c r="R161" i="7"/>
  <c r="S161" i="7"/>
  <c r="T161" i="7"/>
  <c r="U161" i="7"/>
  <c r="V161" i="7"/>
  <c r="W161" i="7"/>
  <c r="X161" i="7"/>
  <c r="Y161" i="7"/>
  <c r="Z161" i="7"/>
  <c r="AA161" i="7"/>
  <c r="AB161" i="7"/>
  <c r="AD161" i="7"/>
  <c r="AE161" i="7"/>
  <c r="E126" i="7"/>
  <c r="F126" i="7"/>
  <c r="G126" i="7"/>
  <c r="H126" i="7"/>
  <c r="I126" i="7"/>
  <c r="J126" i="7"/>
  <c r="K126" i="7"/>
  <c r="L126" i="7"/>
  <c r="M126" i="7"/>
  <c r="O126" i="7"/>
  <c r="P126" i="7"/>
  <c r="Q126" i="7"/>
  <c r="R126" i="7"/>
  <c r="S126" i="7"/>
  <c r="T126" i="7"/>
  <c r="U126" i="7"/>
  <c r="V126" i="7"/>
  <c r="W126" i="7"/>
  <c r="X126" i="7"/>
  <c r="Y126" i="7"/>
  <c r="Z126" i="7"/>
  <c r="AA126" i="7"/>
  <c r="AB126" i="7"/>
  <c r="AD126" i="7"/>
  <c r="AE126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D21" i="7"/>
  <c r="AE21" i="7"/>
  <c r="E534" i="7"/>
  <c r="F534" i="7"/>
  <c r="G534" i="7"/>
  <c r="H534" i="7"/>
  <c r="I534" i="7"/>
  <c r="J534" i="7"/>
  <c r="K534" i="7"/>
  <c r="L534" i="7"/>
  <c r="M534" i="7"/>
  <c r="N534" i="7"/>
  <c r="O534" i="7"/>
  <c r="P534" i="7"/>
  <c r="Q534" i="7"/>
  <c r="R534" i="7"/>
  <c r="S534" i="7"/>
  <c r="T534" i="7"/>
  <c r="U534" i="7"/>
  <c r="V534" i="7"/>
  <c r="W534" i="7"/>
  <c r="X534" i="7"/>
  <c r="Y534" i="7"/>
  <c r="Z534" i="7"/>
  <c r="AA534" i="7"/>
  <c r="AB534" i="7"/>
  <c r="AD534" i="7"/>
  <c r="AE534" i="7"/>
  <c r="E661" i="7"/>
  <c r="F661" i="7"/>
  <c r="G661" i="7"/>
  <c r="H661" i="7"/>
  <c r="I661" i="7"/>
  <c r="J661" i="7"/>
  <c r="K661" i="7"/>
  <c r="L661" i="7"/>
  <c r="M661" i="7"/>
  <c r="O661" i="7"/>
  <c r="P661" i="7"/>
  <c r="Q661" i="7"/>
  <c r="R661" i="7"/>
  <c r="S661" i="7"/>
  <c r="T661" i="7"/>
  <c r="U661" i="7"/>
  <c r="V661" i="7"/>
  <c r="W661" i="7"/>
  <c r="X661" i="7"/>
  <c r="Y661" i="7"/>
  <c r="Z661" i="7"/>
  <c r="AA661" i="7"/>
  <c r="AB661" i="7"/>
  <c r="AD661" i="7"/>
  <c r="AE661" i="7"/>
  <c r="E717" i="7"/>
  <c r="F717" i="7"/>
  <c r="H717" i="7"/>
  <c r="J717" i="7"/>
  <c r="K717" i="7"/>
  <c r="L717" i="7"/>
  <c r="M717" i="7"/>
  <c r="O717" i="7"/>
  <c r="P717" i="7"/>
  <c r="Q717" i="7"/>
  <c r="R717" i="7"/>
  <c r="S717" i="7"/>
  <c r="T717" i="7"/>
  <c r="U717" i="7"/>
  <c r="V717" i="7"/>
  <c r="W717" i="7"/>
  <c r="X717" i="7"/>
  <c r="Y717" i="7"/>
  <c r="Z717" i="7"/>
  <c r="AA717" i="7"/>
  <c r="AB717" i="7"/>
  <c r="AD717" i="7"/>
  <c r="AE717" i="7"/>
  <c r="B1165" i="7"/>
  <c r="B1163" i="7"/>
  <c r="B1162" i="7"/>
  <c r="B1161" i="7"/>
  <c r="B1159" i="7"/>
  <c r="B1157" i="7"/>
  <c r="B1155" i="7"/>
  <c r="B1153" i="7"/>
  <c r="B1152" i="7"/>
  <c r="B1151" i="7"/>
  <c r="B1149" i="7"/>
  <c r="B1148" i="7"/>
  <c r="B1146" i="7"/>
  <c r="B1144" i="7"/>
  <c r="B1142" i="7"/>
  <c r="B1141" i="7"/>
  <c r="B1139" i="7"/>
  <c r="B1138" i="7"/>
  <c r="B1137" i="7"/>
  <c r="B1136" i="7"/>
  <c r="B1134" i="7"/>
  <c r="B1133" i="7"/>
  <c r="B1132" i="7"/>
  <c r="B1130" i="7"/>
  <c r="B1129" i="7"/>
  <c r="B1127" i="7"/>
  <c r="B1126" i="7"/>
  <c r="B1124" i="7"/>
  <c r="B1122" i="7"/>
  <c r="B1120" i="7"/>
  <c r="B1118" i="7"/>
  <c r="B1117" i="7"/>
  <c r="B1116" i="7"/>
  <c r="B1114" i="7"/>
  <c r="B1112" i="7"/>
  <c r="B1110" i="7"/>
  <c r="B1108" i="7"/>
  <c r="B1107" i="7"/>
  <c r="B1106" i="7"/>
  <c r="B1104" i="7"/>
  <c r="B1102" i="7"/>
  <c r="B1100" i="7"/>
  <c r="B1098" i="7"/>
  <c r="B1096" i="7"/>
  <c r="B1094" i="7"/>
  <c r="B1092" i="7"/>
  <c r="B1091" i="7"/>
  <c r="B1090" i="7"/>
  <c r="B1088" i="7"/>
  <c r="B1086" i="7"/>
  <c r="B1085" i="7"/>
  <c r="B1083" i="7"/>
  <c r="B1082" i="7"/>
  <c r="B1081" i="7"/>
  <c r="B1079" i="7"/>
  <c r="B1078" i="7"/>
  <c r="B1076" i="7"/>
  <c r="B1075" i="7"/>
  <c r="B1074" i="7"/>
  <c r="B1073" i="7"/>
  <c r="B1072" i="7"/>
  <c r="B1071" i="7"/>
  <c r="B1069" i="7"/>
  <c r="B1067" i="7"/>
  <c r="B1065" i="7"/>
  <c r="B1063" i="7"/>
  <c r="B1062" i="7"/>
  <c r="B1060" i="7"/>
  <c r="B1058" i="7"/>
  <c r="B1056" i="7"/>
  <c r="B1054" i="7"/>
  <c r="B1052" i="7"/>
  <c r="B1051" i="7"/>
  <c r="B1049" i="7"/>
  <c r="B1048" i="7"/>
  <c r="B1047" i="7"/>
  <c r="B1046" i="7"/>
  <c r="B1045" i="7"/>
  <c r="B1044" i="7"/>
  <c r="B1043" i="7"/>
  <c r="B1041" i="7"/>
  <c r="B1039" i="7"/>
  <c r="B1037" i="7"/>
  <c r="B1036" i="7"/>
  <c r="B1034" i="7"/>
  <c r="B1032" i="7"/>
  <c r="B1030" i="7"/>
  <c r="B1029" i="7"/>
  <c r="B1027" i="7"/>
  <c r="B1026" i="7"/>
  <c r="B1024" i="7"/>
  <c r="B1023" i="7"/>
  <c r="B1022" i="7"/>
  <c r="B1020" i="7"/>
  <c r="B1019" i="7"/>
  <c r="B1018" i="7"/>
  <c r="B1017" i="7"/>
  <c r="B1016" i="7"/>
  <c r="B1015" i="7"/>
  <c r="B1014" i="7"/>
  <c r="B1013" i="7"/>
  <c r="B1011" i="7"/>
  <c r="B1010" i="7"/>
  <c r="B1008" i="7"/>
  <c r="B1007" i="7"/>
  <c r="B1006" i="7"/>
  <c r="B1005" i="7"/>
  <c r="B1004" i="7"/>
  <c r="B1003" i="7"/>
  <c r="B1002" i="7"/>
  <c r="B1001" i="7"/>
  <c r="B1000" i="7"/>
  <c r="B999" i="7"/>
  <c r="B998" i="7"/>
  <c r="B996" i="7"/>
  <c r="B995" i="7"/>
  <c r="B994" i="7"/>
  <c r="B993" i="7"/>
  <c r="B992" i="7"/>
  <c r="B991" i="7"/>
  <c r="B990" i="7"/>
  <c r="B989" i="7"/>
  <c r="B988" i="7"/>
  <c r="B987" i="7"/>
  <c r="B986" i="7"/>
  <c r="B985" i="7"/>
  <c r="B984" i="7"/>
  <c r="B983" i="7"/>
  <c r="B982" i="7"/>
  <c r="B981" i="7"/>
  <c r="B980" i="7"/>
  <c r="B979" i="7"/>
  <c r="B978" i="7"/>
  <c r="B977" i="7"/>
  <c r="B976" i="7"/>
  <c r="B975" i="7"/>
  <c r="B974" i="7"/>
  <c r="B973" i="7"/>
  <c r="B972" i="7"/>
  <c r="B971" i="7"/>
  <c r="B970" i="7"/>
  <c r="B968" i="7"/>
  <c r="B967" i="7"/>
  <c r="B966" i="7"/>
  <c r="B965" i="7"/>
  <c r="B964" i="7"/>
  <c r="B963" i="7"/>
  <c r="B962" i="7"/>
  <c r="B961" i="7"/>
  <c r="B960" i="7"/>
  <c r="B959" i="7"/>
  <c r="B958" i="7"/>
  <c r="B957" i="7"/>
  <c r="B956" i="7"/>
  <c r="B955" i="7"/>
  <c r="B953" i="7"/>
  <c r="B952" i="7"/>
  <c r="B951" i="7"/>
  <c r="B950" i="7"/>
  <c r="B949" i="7"/>
  <c r="B948" i="7"/>
  <c r="B947" i="7"/>
  <c r="B946" i="7"/>
  <c r="B945" i="7"/>
  <c r="B944" i="7"/>
  <c r="B943" i="7"/>
  <c r="B942" i="7"/>
  <c r="B941" i="7"/>
  <c r="B940" i="7"/>
  <c r="B939" i="7"/>
  <c r="B938" i="7"/>
  <c r="B937" i="7"/>
  <c r="B936" i="7"/>
  <c r="B935" i="7"/>
  <c r="B934" i="7"/>
  <c r="B933" i="7"/>
  <c r="B932" i="7"/>
  <c r="B931" i="7"/>
  <c r="B930" i="7"/>
  <c r="B929" i="7"/>
  <c r="B928" i="7"/>
  <c r="B927" i="7"/>
  <c r="B926" i="7"/>
  <c r="B925" i="7"/>
  <c r="B924" i="7"/>
  <c r="B923" i="7"/>
  <c r="B922" i="7"/>
  <c r="B921" i="7"/>
  <c r="B920" i="7"/>
  <c r="B919" i="7"/>
  <c r="B918" i="7"/>
  <c r="B917" i="7"/>
  <c r="B916" i="7"/>
  <c r="B915" i="7"/>
  <c r="B914" i="7"/>
  <c r="B913" i="7"/>
  <c r="B912" i="7"/>
  <c r="B911" i="7"/>
  <c r="B910" i="7"/>
  <c r="B909" i="7"/>
  <c r="B908" i="7"/>
  <c r="B907" i="7"/>
  <c r="B906" i="7"/>
  <c r="B905" i="7"/>
  <c r="B904" i="7"/>
  <c r="B903" i="7"/>
  <c r="B902" i="7"/>
  <c r="B901" i="7"/>
  <c r="B900" i="7"/>
  <c r="B899" i="7"/>
  <c r="B898" i="7"/>
  <c r="B897" i="7"/>
  <c r="B893" i="7"/>
  <c r="B891" i="7"/>
  <c r="B889" i="7"/>
  <c r="B888" i="7"/>
  <c r="B886" i="7"/>
  <c r="B884" i="7"/>
  <c r="B883" i="7"/>
  <c r="B882" i="7"/>
  <c r="B880" i="7"/>
  <c r="B878" i="7"/>
  <c r="B876" i="7"/>
  <c r="B874" i="7"/>
  <c r="B873" i="7"/>
  <c r="B871" i="7"/>
  <c r="B870" i="7"/>
  <c r="B869" i="7"/>
  <c r="B867" i="7"/>
  <c r="B866" i="7"/>
  <c r="B865" i="7"/>
  <c r="B863" i="7"/>
  <c r="B861" i="7"/>
  <c r="B859" i="7"/>
  <c r="B857" i="7"/>
  <c r="B855" i="7"/>
  <c r="B854" i="7"/>
  <c r="B852" i="7"/>
  <c r="B851" i="7"/>
  <c r="B850" i="7"/>
  <c r="B849" i="7"/>
  <c r="B848" i="7"/>
  <c r="B846" i="7"/>
  <c r="B844" i="7"/>
  <c r="B842" i="7"/>
  <c r="B841" i="7"/>
  <c r="B839" i="7"/>
  <c r="B837" i="7"/>
  <c r="B835" i="7"/>
  <c r="B833" i="7"/>
  <c r="B831" i="7"/>
  <c r="B829" i="7"/>
  <c r="B827" i="7"/>
  <c r="B825" i="7"/>
  <c r="B824" i="7"/>
  <c r="B822" i="7"/>
  <c r="B821" i="7"/>
  <c r="B820" i="7"/>
  <c r="B819" i="7"/>
  <c r="B817" i="7"/>
  <c r="B815" i="7"/>
  <c r="B813" i="7"/>
  <c r="B812" i="7"/>
  <c r="B810" i="7"/>
  <c r="B808" i="7"/>
  <c r="B807" i="7"/>
  <c r="B806" i="7"/>
  <c r="B805" i="7"/>
  <c r="B804" i="7"/>
  <c r="B803" i="7"/>
  <c r="B802" i="7"/>
  <c r="B801" i="7"/>
  <c r="B799" i="7"/>
  <c r="B797" i="7"/>
  <c r="B795" i="7"/>
  <c r="B793" i="7"/>
  <c r="B791" i="7"/>
  <c r="B789" i="7"/>
  <c r="B787" i="7"/>
  <c r="B785" i="7"/>
  <c r="B784" i="7"/>
  <c r="B782" i="7"/>
  <c r="B781" i="7"/>
  <c r="B780" i="7"/>
  <c r="B779" i="7"/>
  <c r="B778" i="7"/>
  <c r="B777" i="7"/>
  <c r="B775" i="7"/>
  <c r="B773" i="7"/>
  <c r="B771" i="7"/>
  <c r="B770" i="7"/>
  <c r="B768" i="7"/>
  <c r="B767" i="7"/>
  <c r="B765" i="7"/>
  <c r="B764" i="7"/>
  <c r="B762" i="7"/>
  <c r="B761" i="7"/>
  <c r="B760" i="7"/>
  <c r="B759" i="7"/>
  <c r="B757" i="7"/>
  <c r="B756" i="7"/>
  <c r="B754" i="7"/>
  <c r="B753" i="7"/>
  <c r="B752" i="7"/>
  <c r="B751" i="7"/>
  <c r="B750" i="7"/>
  <c r="B749" i="7"/>
  <c r="B748" i="7"/>
  <c r="B747" i="7"/>
  <c r="B746" i="7"/>
  <c r="B745" i="7"/>
  <c r="B744" i="7"/>
  <c r="B743" i="7"/>
  <c r="B741" i="7"/>
  <c r="B740" i="7"/>
  <c r="B739" i="7"/>
  <c r="B737" i="7"/>
  <c r="B736" i="7"/>
  <c r="B735" i="7"/>
  <c r="B734" i="7"/>
  <c r="B733" i="7"/>
  <c r="B732" i="7"/>
  <c r="B731" i="7"/>
  <c r="B730" i="7"/>
  <c r="B729" i="7"/>
  <c r="B728" i="7"/>
  <c r="B727" i="7"/>
  <c r="B726" i="7"/>
  <c r="B725" i="7"/>
  <c r="B724" i="7"/>
  <c r="B723" i="7"/>
  <c r="B722" i="7"/>
  <c r="B721" i="7"/>
  <c r="B720" i="7"/>
  <c r="B719" i="7"/>
  <c r="B718" i="7"/>
  <c r="B716" i="7"/>
  <c r="B715" i="7"/>
  <c r="B714" i="7"/>
  <c r="B713" i="7"/>
  <c r="B712" i="7"/>
  <c r="B711" i="7"/>
  <c r="B710" i="7"/>
  <c r="B709" i="7"/>
  <c r="B708" i="7"/>
  <c r="B707" i="7"/>
  <c r="B706" i="7"/>
  <c r="B705" i="7"/>
  <c r="B704" i="7"/>
  <c r="B703" i="7"/>
  <c r="B702" i="7"/>
  <c r="B701" i="7"/>
  <c r="B700" i="7"/>
  <c r="B699" i="7"/>
  <c r="B698" i="7"/>
  <c r="B697" i="7"/>
  <c r="B696" i="7"/>
  <c r="B695" i="7"/>
  <c r="B694" i="7"/>
  <c r="B693" i="7"/>
  <c r="B692" i="7"/>
  <c r="B691" i="7"/>
  <c r="B690" i="7"/>
  <c r="B689" i="7"/>
  <c r="B688" i="7"/>
  <c r="B687" i="7"/>
  <c r="B686" i="7"/>
  <c r="B685" i="7"/>
  <c r="B684" i="7"/>
  <c r="B683" i="7"/>
  <c r="B682" i="7"/>
  <c r="B681" i="7"/>
  <c r="B680" i="7"/>
  <c r="B679" i="7"/>
  <c r="B678" i="7"/>
  <c r="B677" i="7"/>
  <c r="B676" i="7"/>
  <c r="B675" i="7"/>
  <c r="B674" i="7"/>
  <c r="B673" i="7"/>
  <c r="B672" i="7"/>
  <c r="B671" i="7"/>
  <c r="B670" i="7"/>
  <c r="B669" i="7"/>
  <c r="B668" i="7"/>
  <c r="B667" i="7"/>
  <c r="B666" i="7"/>
  <c r="B665" i="7"/>
  <c r="B664" i="7"/>
  <c r="B663" i="7"/>
  <c r="B662" i="7"/>
  <c r="B660" i="7"/>
  <c r="B659" i="7"/>
  <c r="B658" i="7"/>
  <c r="B657" i="7"/>
  <c r="B656" i="7"/>
  <c r="B655" i="7"/>
  <c r="B654" i="7"/>
  <c r="B653" i="7"/>
  <c r="B652" i="7"/>
  <c r="B651" i="7"/>
  <c r="B650" i="7"/>
  <c r="B649" i="7"/>
  <c r="B647" i="7"/>
  <c r="B646" i="7"/>
  <c r="B645" i="7"/>
  <c r="B644" i="7"/>
  <c r="B643" i="7"/>
  <c r="B642" i="7"/>
  <c r="B641" i="7"/>
  <c r="B640" i="7"/>
  <c r="B639" i="7"/>
  <c r="B638" i="7"/>
  <c r="B637" i="7"/>
  <c r="B636" i="7"/>
  <c r="B635" i="7"/>
  <c r="B634" i="7"/>
  <c r="B633" i="7"/>
  <c r="B632" i="7"/>
  <c r="B631" i="7"/>
  <c r="B630" i="7"/>
  <c r="B629" i="7"/>
  <c r="B628" i="7"/>
  <c r="B627" i="7"/>
  <c r="B626" i="7"/>
  <c r="B625" i="7"/>
  <c r="B624" i="7"/>
  <c r="B623" i="7"/>
  <c r="B622" i="7"/>
  <c r="B621" i="7"/>
  <c r="B620" i="7"/>
  <c r="B619" i="7"/>
  <c r="B618" i="7"/>
  <c r="B617" i="7"/>
  <c r="B616" i="7"/>
  <c r="B615" i="7"/>
  <c r="B614" i="7"/>
  <c r="B613" i="7"/>
  <c r="B612" i="7"/>
  <c r="B611" i="7"/>
  <c r="B610" i="7"/>
  <c r="B609" i="7"/>
  <c r="B608" i="7"/>
  <c r="B607" i="7"/>
  <c r="B606" i="7"/>
  <c r="B605" i="7"/>
  <c r="B604" i="7"/>
  <c r="B603" i="7"/>
  <c r="B602" i="7"/>
  <c r="B601" i="7"/>
  <c r="B600" i="7"/>
  <c r="B599" i="7"/>
  <c r="B598" i="7"/>
  <c r="B597" i="7"/>
  <c r="B596" i="7"/>
  <c r="B595" i="7"/>
  <c r="B594" i="7"/>
  <c r="B593" i="7"/>
  <c r="B592" i="7"/>
  <c r="B591" i="7"/>
  <c r="B590" i="7"/>
  <c r="B589" i="7"/>
  <c r="B588" i="7"/>
  <c r="B587" i="7"/>
  <c r="B586" i="7"/>
  <c r="B585" i="7"/>
  <c r="B584" i="7"/>
  <c r="B583" i="7"/>
  <c r="B582" i="7"/>
  <c r="B581" i="7"/>
  <c r="B580" i="7"/>
  <c r="B579" i="7"/>
  <c r="B578" i="7"/>
  <c r="B577" i="7"/>
  <c r="B576" i="7"/>
  <c r="B575" i="7"/>
  <c r="B574" i="7"/>
  <c r="B573" i="7"/>
  <c r="B572" i="7"/>
  <c r="B571" i="7"/>
  <c r="B570" i="7"/>
  <c r="B569" i="7"/>
  <c r="B568" i="7"/>
  <c r="B567" i="7"/>
  <c r="B566" i="7"/>
  <c r="B565" i="7"/>
  <c r="B564" i="7"/>
  <c r="B563" i="7"/>
  <c r="B562" i="7"/>
  <c r="B561" i="7"/>
  <c r="B560" i="7"/>
  <c r="B559" i="7"/>
  <c r="B558" i="7"/>
  <c r="B557" i="7"/>
  <c r="B555" i="7"/>
  <c r="B554" i="7"/>
  <c r="B553" i="7"/>
  <c r="B552" i="7"/>
  <c r="B551" i="7"/>
  <c r="B550" i="7"/>
  <c r="B549" i="7"/>
  <c r="B548" i="7"/>
  <c r="B547" i="7"/>
  <c r="B546" i="7"/>
  <c r="B545" i="7"/>
  <c r="B544" i="7"/>
  <c r="B543" i="7"/>
  <c r="B542" i="7"/>
  <c r="B541" i="7"/>
  <c r="B540" i="7"/>
  <c r="B539" i="7"/>
  <c r="B538" i="7"/>
  <c r="B537" i="7"/>
  <c r="B536" i="7"/>
  <c r="B532" i="7"/>
  <c r="B530" i="7"/>
  <c r="B528" i="7"/>
  <c r="B527" i="7"/>
  <c r="B526" i="7"/>
  <c r="B524" i="7"/>
  <c r="B523" i="7"/>
  <c r="B522" i="7"/>
  <c r="B521" i="7"/>
  <c r="B520" i="7"/>
  <c r="B518" i="7"/>
  <c r="B517" i="7"/>
  <c r="B516" i="7"/>
  <c r="B515" i="7"/>
  <c r="B514" i="7"/>
  <c r="B513" i="7"/>
  <c r="B511" i="7"/>
  <c r="B509" i="7"/>
  <c r="B507" i="7"/>
  <c r="B505" i="7"/>
  <c r="B504" i="7"/>
  <c r="B503" i="7"/>
  <c r="B502" i="7"/>
  <c r="B501" i="7"/>
  <c r="B500" i="7"/>
  <c r="B498" i="7"/>
  <c r="B496" i="7"/>
  <c r="B494" i="7"/>
  <c r="B492" i="7"/>
  <c r="B490" i="7"/>
  <c r="B488" i="7"/>
  <c r="B487" i="7"/>
  <c r="B486" i="7"/>
  <c r="B485" i="7"/>
  <c r="B484" i="7"/>
  <c r="B482" i="7"/>
  <c r="B480" i="7"/>
  <c r="B479" i="7"/>
  <c r="B477" i="7"/>
  <c r="B476" i="7"/>
  <c r="B475" i="7"/>
  <c r="B474" i="7"/>
  <c r="B473" i="7"/>
  <c r="B472" i="7"/>
  <c r="B471" i="7"/>
  <c r="B470" i="7"/>
  <c r="B468" i="7"/>
  <c r="B467" i="7"/>
  <c r="B466" i="7"/>
  <c r="B465" i="7"/>
  <c r="B464" i="7"/>
  <c r="B463" i="7"/>
  <c r="B462" i="7"/>
  <c r="B461" i="7"/>
  <c r="B459" i="7"/>
  <c r="B458" i="7"/>
  <c r="B457" i="7"/>
  <c r="B456" i="7"/>
  <c r="B455" i="7"/>
  <c r="B454" i="7"/>
  <c r="B452" i="7"/>
  <c r="B450" i="7"/>
  <c r="B448" i="7"/>
  <c r="B446" i="7"/>
  <c r="B444" i="7"/>
  <c r="B442" i="7"/>
  <c r="B440" i="7"/>
  <c r="B439" i="7"/>
  <c r="B438" i="7"/>
  <c r="B437" i="7"/>
  <c r="B436" i="7"/>
  <c r="B435" i="7"/>
  <c r="B434" i="7"/>
  <c r="B433" i="7"/>
  <c r="B432" i="7"/>
  <c r="B430" i="7"/>
  <c r="B428" i="7"/>
  <c r="B427" i="7"/>
  <c r="B426" i="7"/>
  <c r="B425" i="7"/>
  <c r="B424" i="7"/>
  <c r="B422" i="7"/>
  <c r="B421" i="7"/>
  <c r="B420" i="7"/>
  <c r="B419" i="7"/>
  <c r="B418" i="7"/>
  <c r="B417" i="7"/>
  <c r="B416" i="7"/>
  <c r="B415" i="7"/>
  <c r="B413" i="7"/>
  <c r="B412" i="7"/>
  <c r="B410" i="7"/>
  <c r="B408" i="7"/>
  <c r="B407" i="7"/>
  <c r="B406" i="7"/>
  <c r="B405" i="7"/>
  <c r="B404" i="7"/>
  <c r="B402" i="7"/>
  <c r="B400" i="7"/>
  <c r="B398" i="7"/>
  <c r="B397" i="7"/>
  <c r="B396" i="7"/>
  <c r="B395" i="7"/>
  <c r="B394" i="7"/>
  <c r="B393" i="7"/>
  <c r="B392" i="7"/>
  <c r="B390" i="7"/>
  <c r="B388" i="7"/>
  <c r="B387" i="7"/>
  <c r="B386" i="7"/>
  <c r="B384" i="7"/>
  <c r="B382" i="7"/>
  <c r="B381" i="7"/>
  <c r="B379" i="7"/>
  <c r="B378" i="7"/>
  <c r="B377" i="7"/>
  <c r="B375" i="7"/>
  <c r="B373" i="7"/>
  <c r="B371" i="7"/>
  <c r="B370" i="7"/>
  <c r="B368" i="7"/>
  <c r="B367" i="7"/>
  <c r="B366" i="7"/>
  <c r="B365" i="7"/>
  <c r="B364" i="7"/>
  <c r="B363" i="7"/>
  <c r="B362" i="7"/>
  <c r="B361" i="7"/>
  <c r="B360" i="7"/>
  <c r="B359" i="7"/>
  <c r="B358" i="7"/>
  <c r="B357" i="7"/>
  <c r="B356" i="7"/>
  <c r="B355" i="7"/>
  <c r="B353" i="7"/>
  <c r="B351" i="7"/>
  <c r="B350" i="7"/>
  <c r="B348" i="7"/>
  <c r="B347" i="7"/>
  <c r="B345" i="7"/>
  <c r="B344" i="7"/>
  <c r="B342" i="7"/>
  <c r="B341" i="7"/>
  <c r="B340" i="7"/>
  <c r="B338" i="7"/>
  <c r="B337" i="7"/>
  <c r="B336" i="7"/>
  <c r="B335" i="7"/>
  <c r="B333" i="7"/>
  <c r="B332" i="7"/>
  <c r="B331" i="7"/>
  <c r="B330" i="7"/>
  <c r="B329" i="7"/>
  <c r="B328" i="7"/>
  <c r="B327" i="7"/>
  <c r="B326" i="7"/>
  <c r="B325" i="7"/>
  <c r="B324" i="7"/>
  <c r="B323" i="7"/>
  <c r="B322" i="7"/>
  <c r="B320" i="7"/>
  <c r="B319" i="7"/>
  <c r="B318" i="7"/>
  <c r="B317" i="7"/>
  <c r="B316" i="7"/>
  <c r="B315" i="7"/>
  <c r="B314" i="7"/>
  <c r="B313" i="7"/>
  <c r="B312" i="7"/>
  <c r="B311" i="7"/>
  <c r="B310" i="7"/>
  <c r="B309" i="7"/>
  <c r="B308" i="7"/>
  <c r="B307" i="7"/>
  <c r="B306" i="7"/>
  <c r="B304" i="7"/>
  <c r="B302" i="7"/>
  <c r="B301" i="7"/>
  <c r="B300" i="7"/>
  <c r="B299" i="7"/>
  <c r="B298" i="7"/>
  <c r="B296" i="7"/>
  <c r="B295" i="7"/>
  <c r="B294" i="7"/>
  <c r="B293" i="7"/>
  <c r="B292" i="7"/>
  <c r="B290" i="7"/>
  <c r="B289" i="7"/>
  <c r="B287" i="7"/>
  <c r="B285" i="7"/>
  <c r="B284" i="7"/>
  <c r="B283" i="7"/>
  <c r="B282" i="7"/>
  <c r="B280" i="7"/>
  <c r="B279" i="7"/>
  <c r="B278" i="7"/>
  <c r="B277" i="7"/>
  <c r="B276" i="7"/>
  <c r="B275" i="7"/>
  <c r="B273" i="7"/>
  <c r="B272" i="7"/>
  <c r="B271" i="7"/>
  <c r="B270" i="7"/>
  <c r="B269" i="7"/>
  <c r="B268" i="7"/>
  <c r="B267" i="7"/>
  <c r="B265" i="7"/>
  <c r="B264" i="7"/>
  <c r="B263" i="7"/>
  <c r="B262" i="7"/>
  <c r="B261" i="7"/>
  <c r="B260" i="7"/>
  <c r="B259" i="7"/>
  <c r="B258" i="7"/>
  <c r="B257" i="7"/>
  <c r="B256" i="7"/>
  <c r="B255" i="7"/>
  <c r="B254" i="7"/>
  <c r="B253" i="7"/>
  <c r="B252" i="7"/>
  <c r="B251" i="7"/>
  <c r="B250" i="7"/>
  <c r="B249" i="7"/>
  <c r="B248" i="7"/>
  <c r="B247" i="7"/>
  <c r="B246" i="7"/>
  <c r="B245" i="7"/>
  <c r="B244" i="7"/>
  <c r="B243" i="7"/>
  <c r="B242" i="7"/>
  <c r="B241" i="7"/>
  <c r="B240" i="7"/>
  <c r="B239" i="7"/>
  <c r="B238" i="7"/>
  <c r="B237" i="7"/>
  <c r="B235" i="7"/>
  <c r="B234" i="7"/>
  <c r="B233" i="7"/>
  <c r="B232" i="7"/>
  <c r="B231" i="7"/>
  <c r="B229" i="7"/>
  <c r="B228" i="7"/>
  <c r="B227" i="7"/>
  <c r="B226" i="7"/>
  <c r="B225" i="7"/>
  <c r="B224" i="7"/>
  <c r="B223" i="7"/>
  <c r="B222" i="7"/>
  <c r="B221" i="7"/>
  <c r="B220" i="7"/>
  <c r="B219" i="7"/>
  <c r="B218" i="7"/>
  <c r="B217" i="7"/>
  <c r="B216" i="7"/>
  <c r="B215" i="7"/>
  <c r="B214" i="7"/>
  <c r="B213" i="7"/>
  <c r="B212" i="7"/>
  <c r="B211" i="7"/>
  <c r="B210" i="7"/>
  <c r="B209" i="7"/>
  <c r="B208" i="7"/>
  <c r="B207" i="7"/>
  <c r="B206" i="7"/>
  <c r="B205" i="7"/>
  <c r="B204" i="7"/>
  <c r="B203" i="7"/>
  <c r="B202" i="7"/>
  <c r="B201" i="7"/>
  <c r="B200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S731" i="3"/>
  <c r="S730" i="3"/>
  <c r="S729" i="3"/>
  <c r="S728" i="3"/>
  <c r="S727" i="3"/>
  <c r="S726" i="3"/>
  <c r="S725" i="3"/>
  <c r="S724" i="3"/>
  <c r="S723" i="3"/>
  <c r="S722" i="3"/>
  <c r="S721" i="3"/>
  <c r="T642" i="3"/>
  <c r="J642" i="3"/>
  <c r="K642" i="3"/>
  <c r="L642" i="3"/>
  <c r="Q642" i="3"/>
  <c r="R642" i="3"/>
  <c r="U642" i="3"/>
  <c r="S643" i="3"/>
  <c r="S644" i="3"/>
  <c r="S645" i="3"/>
  <c r="S646" i="3"/>
  <c r="S647" i="3"/>
  <c r="AC578" i="7"/>
  <c r="AC572" i="7"/>
  <c r="D737" i="7"/>
  <c r="D736" i="7"/>
  <c r="D735" i="7"/>
  <c r="D734" i="7"/>
  <c r="D733" i="7"/>
  <c r="D732" i="7"/>
  <c r="D731" i="7"/>
  <c r="D730" i="7"/>
  <c r="D729" i="7"/>
  <c r="D728" i="7"/>
  <c r="D727" i="7"/>
  <c r="AC716" i="7"/>
  <c r="D716" i="7" s="1"/>
  <c r="AC715" i="7"/>
  <c r="D715" i="7" s="1"/>
  <c r="AC714" i="7"/>
  <c r="D714" i="7" s="1"/>
  <c r="AC713" i="7"/>
  <c r="D713" i="7" s="1"/>
  <c r="AC712" i="7"/>
  <c r="D712" i="7" s="1"/>
  <c r="AC711" i="7"/>
  <c r="D711" i="7" s="1"/>
  <c r="AC710" i="7"/>
  <c r="D710" i="7" s="1"/>
  <c r="AC709" i="7"/>
  <c r="D709" i="7" s="1"/>
  <c r="AC708" i="7"/>
  <c r="D708" i="7" s="1"/>
  <c r="AC707" i="7"/>
  <c r="D707" i="7" s="1"/>
  <c r="AC706" i="7"/>
  <c r="D706" i="7" s="1"/>
  <c r="AC705" i="7"/>
  <c r="D705" i="7" s="1"/>
  <c r="AC704" i="7"/>
  <c r="D704" i="7" s="1"/>
  <c r="AC703" i="7"/>
  <c r="D703" i="7" s="1"/>
  <c r="AC702" i="7"/>
  <c r="D702" i="7" s="1"/>
  <c r="AC701" i="7"/>
  <c r="D701" i="7" s="1"/>
  <c r="AC700" i="7"/>
  <c r="D700" i="7" s="1"/>
  <c r="AC699" i="7"/>
  <c r="D699" i="7" s="1"/>
  <c r="AC698" i="7"/>
  <c r="D698" i="7" s="1"/>
  <c r="AC697" i="7"/>
  <c r="D697" i="7" s="1"/>
  <c r="AC696" i="7"/>
  <c r="D696" i="7" s="1"/>
  <c r="AC695" i="7"/>
  <c r="D695" i="7" s="1"/>
  <c r="AC694" i="7"/>
  <c r="D694" i="7" s="1"/>
  <c r="AC693" i="7"/>
  <c r="D693" i="7" s="1"/>
  <c r="AC692" i="7"/>
  <c r="D692" i="7" s="1"/>
  <c r="AC691" i="7"/>
  <c r="D691" i="7" s="1"/>
  <c r="AC690" i="7"/>
  <c r="D690" i="7" s="1"/>
  <c r="AC944" i="7"/>
  <c r="D944" i="7" s="1"/>
  <c r="AC638" i="7"/>
  <c r="D638" i="7" s="1"/>
  <c r="AC618" i="7"/>
  <c r="D618" i="7" s="1"/>
  <c r="D589" i="7"/>
  <c r="D588" i="7"/>
  <c r="D586" i="7"/>
  <c r="D585" i="7"/>
  <c r="D587" i="7"/>
  <c r="D543" i="7"/>
  <c r="AC647" i="7"/>
  <c r="D647" i="7" s="1"/>
  <c r="AC646" i="7"/>
  <c r="D646" i="7" s="1"/>
  <c r="AC645" i="7"/>
  <c r="D645" i="7" s="1"/>
  <c r="AC644" i="7"/>
  <c r="D644" i="7" s="1"/>
  <c r="AC643" i="7"/>
  <c r="D643" i="7" s="1"/>
  <c r="AC642" i="7"/>
  <c r="D642" i="7" s="1"/>
  <c r="AC641" i="7"/>
  <c r="D641" i="7" s="1"/>
  <c r="AC640" i="7"/>
  <c r="D640" i="7" s="1"/>
  <c r="AC639" i="7"/>
  <c r="D639" i="7" s="1"/>
  <c r="AC637" i="7"/>
  <c r="D637" i="7" s="1"/>
  <c r="AC636" i="7"/>
  <c r="D636" i="7" s="1"/>
  <c r="AC635" i="7"/>
  <c r="D635" i="7" s="1"/>
  <c r="AC634" i="7"/>
  <c r="D634" i="7" s="1"/>
  <c r="AC633" i="7"/>
  <c r="D633" i="7" s="1"/>
  <c r="AC632" i="7"/>
  <c r="D632" i="7" s="1"/>
  <c r="AC631" i="7"/>
  <c r="D631" i="7" s="1"/>
  <c r="AC630" i="7"/>
  <c r="D630" i="7" s="1"/>
  <c r="AC629" i="7"/>
  <c r="D629" i="7" s="1"/>
  <c r="AC628" i="7"/>
  <c r="D628" i="7" s="1"/>
  <c r="AC627" i="7"/>
  <c r="D627" i="7" s="1"/>
  <c r="AC626" i="7"/>
  <c r="D626" i="7" s="1"/>
  <c r="AC625" i="7"/>
  <c r="D625" i="7" s="1"/>
  <c r="AC624" i="7"/>
  <c r="D624" i="7" s="1"/>
  <c r="AC623" i="7"/>
  <c r="D623" i="7" s="1"/>
  <c r="AC622" i="7"/>
  <c r="D622" i="7" s="1"/>
  <c r="AC621" i="7"/>
  <c r="D621" i="7" s="1"/>
  <c r="AC620" i="7"/>
  <c r="D620" i="7" s="1"/>
  <c r="AC619" i="7"/>
  <c r="D619" i="7" s="1"/>
  <c r="AC617" i="7"/>
  <c r="D617" i="7" s="1"/>
  <c r="AC616" i="7"/>
  <c r="D616" i="7" s="1"/>
  <c r="AC615" i="7"/>
  <c r="D615" i="7" s="1"/>
  <c r="AC614" i="7"/>
  <c r="D614" i="7" s="1"/>
  <c r="AC613" i="7"/>
  <c r="D613" i="7" s="1"/>
  <c r="AC612" i="7"/>
  <c r="D612" i="7" s="1"/>
  <c r="AC611" i="7"/>
  <c r="D611" i="7" s="1"/>
  <c r="AC610" i="7"/>
  <c r="D610" i="7" s="1"/>
  <c r="AC609" i="7"/>
  <c r="D609" i="7" s="1"/>
  <c r="AC608" i="7"/>
  <c r="D608" i="7" s="1"/>
  <c r="AC607" i="7"/>
  <c r="D607" i="7" s="1"/>
  <c r="AC606" i="7"/>
  <c r="D606" i="7" s="1"/>
  <c r="AC605" i="7"/>
  <c r="D605" i="7" s="1"/>
  <c r="AC604" i="7"/>
  <c r="D604" i="7" s="1"/>
  <c r="AC603" i="7"/>
  <c r="D603" i="7" s="1"/>
  <c r="AC602" i="7"/>
  <c r="D602" i="7" s="1"/>
  <c r="AC601" i="7"/>
  <c r="D601" i="7" s="1"/>
  <c r="AC600" i="7"/>
  <c r="D600" i="7" s="1"/>
  <c r="AC599" i="7"/>
  <c r="D599" i="7" s="1"/>
  <c r="AC598" i="7"/>
  <c r="D598" i="7" s="1"/>
  <c r="AC597" i="7"/>
  <c r="D597" i="7" s="1"/>
  <c r="AC596" i="7"/>
  <c r="D596" i="7" s="1"/>
  <c r="AC595" i="7"/>
  <c r="D595" i="7" s="1"/>
  <c r="AC594" i="7"/>
  <c r="D594" i="7" s="1"/>
  <c r="AC593" i="7"/>
  <c r="D593" i="7" s="1"/>
  <c r="AC592" i="7"/>
  <c r="D592" i="7" s="1"/>
  <c r="AC591" i="7"/>
  <c r="D591" i="7" s="1"/>
  <c r="AC590" i="7"/>
  <c r="D590" i="7" s="1"/>
  <c r="AC87" i="7"/>
  <c r="D87" i="7" s="1"/>
  <c r="D76" i="7"/>
  <c r="D77" i="7"/>
  <c r="D78" i="7"/>
  <c r="D79" i="7"/>
  <c r="D80" i="7"/>
  <c r="R378" i="7" l="1"/>
  <c r="R376" i="7" s="1"/>
  <c r="N377" i="7"/>
  <c r="N376" i="7" s="1"/>
  <c r="R485" i="7" l="1"/>
  <c r="R483" i="7" s="1"/>
  <c r="D224" i="7" l="1"/>
  <c r="D265" i="7"/>
  <c r="D84" i="7" l="1"/>
  <c r="Q61" i="9" l="1"/>
  <c r="Q59" i="9"/>
  <c r="Q57" i="9"/>
  <c r="Q53" i="9"/>
  <c r="Q51" i="9"/>
  <c r="Q49" i="9"/>
  <c r="Q47" i="9"/>
  <c r="Q43" i="9"/>
  <c r="Q41" i="9"/>
  <c r="Q39" i="9"/>
  <c r="Q35" i="9"/>
  <c r="Q32" i="9"/>
  <c r="Q29" i="9"/>
  <c r="Q27" i="9"/>
  <c r="Q25" i="9"/>
  <c r="Q23" i="9"/>
  <c r="Q13" i="9"/>
  <c r="Q11" i="9"/>
  <c r="U1158" i="3"/>
  <c r="U1154" i="3"/>
  <c r="U1152" i="3"/>
  <c r="U1150" i="3"/>
  <c r="U1148" i="3"/>
  <c r="U1144" i="3"/>
  <c r="U1141" i="3"/>
  <c r="U1139" i="3"/>
  <c r="U1137" i="3"/>
  <c r="U1134" i="3"/>
  <c r="U1129" i="3"/>
  <c r="U1125" i="3"/>
  <c r="U1122" i="3"/>
  <c r="U1119" i="3"/>
  <c r="U1117" i="3"/>
  <c r="U1115" i="3"/>
  <c r="U1113" i="3"/>
  <c r="U1109" i="3"/>
  <c r="U1107" i="3"/>
  <c r="U1105" i="3"/>
  <c r="U1103" i="3"/>
  <c r="U1099" i="3"/>
  <c r="U1097" i="3"/>
  <c r="U1095" i="3"/>
  <c r="U1093" i="3"/>
  <c r="U1091" i="3"/>
  <c r="U1089" i="3"/>
  <c r="U1087" i="3"/>
  <c r="U1083" i="3"/>
  <c r="U1081" i="3"/>
  <c r="U1078" i="3"/>
  <c r="U1074" i="3"/>
  <c r="U1071" i="3"/>
  <c r="U1064" i="3"/>
  <c r="U1062" i="3"/>
  <c r="U1060" i="3"/>
  <c r="U1058" i="3"/>
  <c r="U1055" i="3"/>
  <c r="U1053" i="3"/>
  <c r="U1051" i="3"/>
  <c r="U1049" i="3"/>
  <c r="U1047" i="3"/>
  <c r="U1044" i="3"/>
  <c r="U1036" i="3"/>
  <c r="U1034" i="3"/>
  <c r="U1032" i="3"/>
  <c r="U1029" i="3"/>
  <c r="U1027" i="3"/>
  <c r="U1025" i="3"/>
  <c r="U1022" i="3"/>
  <c r="U1019" i="3"/>
  <c r="U1015" i="3"/>
  <c r="U1006" i="3"/>
  <c r="U1003" i="3"/>
  <c r="U991" i="3"/>
  <c r="U963" i="3"/>
  <c r="U948" i="3"/>
  <c r="U889" i="3"/>
  <c r="U886" i="3"/>
  <c r="U881" i="3"/>
  <c r="U879" i="3"/>
  <c r="U875" i="3"/>
  <c r="U873" i="3"/>
  <c r="U871" i="3"/>
  <c r="U869" i="3"/>
  <c r="U866" i="3"/>
  <c r="U862" i="3"/>
  <c r="U858" i="3"/>
  <c r="U856" i="3"/>
  <c r="U854" i="3"/>
  <c r="U852" i="3"/>
  <c r="U850" i="3"/>
  <c r="U847" i="3"/>
  <c r="U841" i="3"/>
  <c r="U839" i="3"/>
  <c r="U837" i="3"/>
  <c r="U834" i="3"/>
  <c r="U832" i="3"/>
  <c r="U830" i="3"/>
  <c r="U828" i="3"/>
  <c r="U826" i="3"/>
  <c r="U824" i="3"/>
  <c r="U822" i="3"/>
  <c r="U820" i="3"/>
  <c r="U817" i="3"/>
  <c r="U812" i="3"/>
  <c r="U810" i="3"/>
  <c r="U808" i="3"/>
  <c r="U805" i="3"/>
  <c r="U803" i="3"/>
  <c r="U794" i="3"/>
  <c r="U792" i="3"/>
  <c r="U790" i="3"/>
  <c r="U788" i="3"/>
  <c r="U786" i="3"/>
  <c r="U784" i="3"/>
  <c r="U782" i="3"/>
  <c r="U780" i="3"/>
  <c r="U777" i="3"/>
  <c r="U770" i="3"/>
  <c r="U768" i="3"/>
  <c r="U766" i="3"/>
  <c r="U763" i="3"/>
  <c r="U760" i="3"/>
  <c r="U757" i="3"/>
  <c r="U752" i="3"/>
  <c r="U749" i="3"/>
  <c r="U736" i="3"/>
  <c r="U732" i="3"/>
  <c r="U711" i="3"/>
  <c r="U655" i="3"/>
  <c r="U528" i="3"/>
  <c r="U525" i="3"/>
  <c r="U523" i="3"/>
  <c r="U519" i="3"/>
  <c r="U513" i="3"/>
  <c r="U506" i="3"/>
  <c r="U504" i="3"/>
  <c r="U502" i="3"/>
  <c r="U500" i="3"/>
  <c r="U493" i="3"/>
  <c r="U491" i="3"/>
  <c r="U489" i="3"/>
  <c r="U487" i="3"/>
  <c r="U485" i="3"/>
  <c r="U483" i="3"/>
  <c r="U477" i="3"/>
  <c r="U475" i="3"/>
  <c r="U472" i="3"/>
  <c r="U463" i="3"/>
  <c r="U454" i="3"/>
  <c r="U447" i="3"/>
  <c r="U445" i="3"/>
  <c r="U443" i="3"/>
  <c r="U441" i="3"/>
  <c r="U439" i="3"/>
  <c r="U437" i="3"/>
  <c r="U435" i="3"/>
  <c r="U425" i="3"/>
  <c r="U423" i="3"/>
  <c r="U417" i="3"/>
  <c r="U408" i="3"/>
  <c r="U405" i="3"/>
  <c r="U403" i="3"/>
  <c r="U397" i="3"/>
  <c r="U395" i="3"/>
  <c r="U393" i="3"/>
  <c r="U385" i="3"/>
  <c r="U383" i="3"/>
  <c r="U379" i="3"/>
  <c r="U377" i="3"/>
  <c r="U374" i="3"/>
  <c r="U370" i="3"/>
  <c r="U368" i="3"/>
  <c r="U366" i="3"/>
  <c r="U363" i="3"/>
  <c r="U348" i="3"/>
  <c r="U346" i="3"/>
  <c r="U343" i="3"/>
  <c r="U340" i="3"/>
  <c r="U337" i="3"/>
  <c r="U333" i="3"/>
  <c r="U328" i="3"/>
  <c r="U315" i="3"/>
  <c r="U299" i="3"/>
  <c r="U297" i="3"/>
  <c r="U291" i="3"/>
  <c r="U285" i="3"/>
  <c r="U282" i="3"/>
  <c r="U280" i="3"/>
  <c r="U275" i="3"/>
  <c r="U268" i="3"/>
  <c r="U260" i="3"/>
  <c r="U230" i="3"/>
  <c r="U224" i="3"/>
  <c r="U193" i="3"/>
  <c r="U120" i="3"/>
  <c r="U15" i="3"/>
  <c r="Q10" i="9" l="1"/>
  <c r="U888" i="3"/>
  <c r="U14" i="3"/>
  <c r="U527" i="3"/>
  <c r="Q1158" i="3"/>
  <c r="R1158" i="3"/>
  <c r="Q1154" i="3"/>
  <c r="R1154" i="3"/>
  <c r="Q1152" i="3"/>
  <c r="R1152" i="3"/>
  <c r="Q1150" i="3"/>
  <c r="R1150" i="3"/>
  <c r="Q1148" i="3"/>
  <c r="R1148" i="3"/>
  <c r="Q1144" i="3"/>
  <c r="R1144" i="3"/>
  <c r="Q1141" i="3"/>
  <c r="R1141" i="3"/>
  <c r="Q1139" i="3"/>
  <c r="R1139" i="3"/>
  <c r="Q1137" i="3"/>
  <c r="R1137" i="3"/>
  <c r="Q1134" i="3"/>
  <c r="R1134" i="3"/>
  <c r="Q1129" i="3"/>
  <c r="R1129" i="3"/>
  <c r="Q1113" i="3"/>
  <c r="R1113" i="3"/>
  <c r="Q1115" i="3"/>
  <c r="R1115" i="3"/>
  <c r="Q1117" i="3"/>
  <c r="R1117" i="3"/>
  <c r="Q1119" i="3"/>
  <c r="R1119" i="3"/>
  <c r="Q1122" i="3"/>
  <c r="R1122" i="3"/>
  <c r="Q1125" i="3"/>
  <c r="R1125" i="3"/>
  <c r="Q1109" i="3"/>
  <c r="R1109" i="3"/>
  <c r="Q1107" i="3"/>
  <c r="R1107" i="3"/>
  <c r="Q1105" i="3"/>
  <c r="R1105" i="3"/>
  <c r="Q1103" i="3"/>
  <c r="R1103" i="3"/>
  <c r="Q1099" i="3"/>
  <c r="R1099" i="3"/>
  <c r="Q1097" i="3"/>
  <c r="R1097" i="3"/>
  <c r="Q1095" i="3"/>
  <c r="R1095" i="3"/>
  <c r="Q1093" i="3"/>
  <c r="R1093" i="3"/>
  <c r="Q1091" i="3"/>
  <c r="R1091" i="3"/>
  <c r="Q1087" i="3"/>
  <c r="R1087" i="3"/>
  <c r="Q1089" i="3"/>
  <c r="R1089" i="3"/>
  <c r="Q1083" i="3"/>
  <c r="R1083" i="3"/>
  <c r="Q1081" i="3"/>
  <c r="R1081" i="3"/>
  <c r="Q1078" i="3"/>
  <c r="R1078" i="3"/>
  <c r="Q1074" i="3"/>
  <c r="R1074" i="3"/>
  <c r="Q1071" i="3"/>
  <c r="R1071" i="3"/>
  <c r="Q1064" i="3"/>
  <c r="R1064" i="3"/>
  <c r="Q1062" i="3"/>
  <c r="R1062" i="3"/>
  <c r="Q1060" i="3"/>
  <c r="R1060" i="3"/>
  <c r="Q1058" i="3"/>
  <c r="R1058" i="3"/>
  <c r="Q1055" i="3"/>
  <c r="R1055" i="3"/>
  <c r="Q1053" i="3"/>
  <c r="R1053" i="3"/>
  <c r="Q1051" i="3"/>
  <c r="R1051" i="3"/>
  <c r="Q1049" i="3"/>
  <c r="R1049" i="3"/>
  <c r="Q1047" i="3"/>
  <c r="R1047" i="3"/>
  <c r="Q1044" i="3"/>
  <c r="R1044" i="3"/>
  <c r="Q1036" i="3"/>
  <c r="R1036" i="3"/>
  <c r="Q1034" i="3"/>
  <c r="R1034" i="3"/>
  <c r="Q1032" i="3"/>
  <c r="R1032" i="3"/>
  <c r="Q1029" i="3"/>
  <c r="R1029" i="3"/>
  <c r="Q1027" i="3"/>
  <c r="R1027" i="3"/>
  <c r="Q1025" i="3"/>
  <c r="R1025" i="3"/>
  <c r="Q1022" i="3"/>
  <c r="R1022" i="3"/>
  <c r="Q1019" i="3"/>
  <c r="R1019" i="3"/>
  <c r="Q1015" i="3"/>
  <c r="R1015" i="3"/>
  <c r="Q1006" i="3"/>
  <c r="R1006" i="3"/>
  <c r="Q1003" i="3"/>
  <c r="R1003" i="3"/>
  <c r="Q991" i="3"/>
  <c r="R991" i="3"/>
  <c r="Q963" i="3"/>
  <c r="R963" i="3"/>
  <c r="Q948" i="3"/>
  <c r="R948" i="3"/>
  <c r="Q869" i="3"/>
  <c r="R869" i="3"/>
  <c r="Q871" i="3"/>
  <c r="R871" i="3"/>
  <c r="Q873" i="3"/>
  <c r="R873" i="3"/>
  <c r="Q875" i="3"/>
  <c r="R875" i="3"/>
  <c r="Q879" i="3"/>
  <c r="R879" i="3"/>
  <c r="Q881" i="3"/>
  <c r="R881" i="3"/>
  <c r="Q884" i="3"/>
  <c r="R884" i="3"/>
  <c r="Q886" i="3"/>
  <c r="R886" i="3"/>
  <c r="Q866" i="3"/>
  <c r="R866" i="3"/>
  <c r="Q862" i="3"/>
  <c r="R862" i="3"/>
  <c r="Q858" i="3"/>
  <c r="R858" i="3"/>
  <c r="Q856" i="3"/>
  <c r="R856" i="3"/>
  <c r="Q854" i="3"/>
  <c r="R854" i="3"/>
  <c r="Q852" i="3"/>
  <c r="R852" i="3"/>
  <c r="Q850" i="3"/>
  <c r="R850" i="3"/>
  <c r="Q847" i="3"/>
  <c r="R847" i="3"/>
  <c r="Q841" i="3"/>
  <c r="R841" i="3"/>
  <c r="Q839" i="3"/>
  <c r="R839" i="3"/>
  <c r="Q837" i="3"/>
  <c r="R837" i="3"/>
  <c r="Q832" i="3"/>
  <c r="R832" i="3"/>
  <c r="Q834" i="3"/>
  <c r="R834" i="3"/>
  <c r="Q830" i="3"/>
  <c r="R830" i="3"/>
  <c r="Q828" i="3"/>
  <c r="R828" i="3"/>
  <c r="Q826" i="3"/>
  <c r="R826" i="3"/>
  <c r="Q824" i="3"/>
  <c r="R824" i="3"/>
  <c r="Q803" i="3"/>
  <c r="R803" i="3"/>
  <c r="Q805" i="3"/>
  <c r="R805" i="3"/>
  <c r="Q808" i="3"/>
  <c r="R808" i="3"/>
  <c r="Q810" i="3"/>
  <c r="R810" i="3"/>
  <c r="Q812" i="3"/>
  <c r="R812" i="3"/>
  <c r="Q817" i="3"/>
  <c r="R817" i="3"/>
  <c r="Q820" i="3"/>
  <c r="R820" i="3"/>
  <c r="Q822" i="3"/>
  <c r="R822" i="3"/>
  <c r="Q794" i="3"/>
  <c r="R794" i="3"/>
  <c r="Q792" i="3"/>
  <c r="R792" i="3"/>
  <c r="Q790" i="3"/>
  <c r="R790" i="3"/>
  <c r="Q788" i="3"/>
  <c r="R788" i="3"/>
  <c r="Q786" i="3"/>
  <c r="R786" i="3"/>
  <c r="Q784" i="3"/>
  <c r="R784" i="3"/>
  <c r="Q782" i="3"/>
  <c r="R782" i="3"/>
  <c r="Q780" i="3"/>
  <c r="R780" i="3"/>
  <c r="Q777" i="3"/>
  <c r="R777" i="3"/>
  <c r="Q770" i="3"/>
  <c r="R770" i="3"/>
  <c r="Q768" i="3"/>
  <c r="R768" i="3"/>
  <c r="Q766" i="3"/>
  <c r="R766" i="3"/>
  <c r="Q763" i="3"/>
  <c r="R763" i="3"/>
  <c r="Q760" i="3"/>
  <c r="R760" i="3"/>
  <c r="Q757" i="3"/>
  <c r="R757" i="3"/>
  <c r="Q752" i="3"/>
  <c r="R752" i="3"/>
  <c r="Q749" i="3"/>
  <c r="R749" i="3"/>
  <c r="Q736" i="3"/>
  <c r="R736" i="3"/>
  <c r="Q732" i="3"/>
  <c r="R732" i="3"/>
  <c r="Q519" i="3"/>
  <c r="R519" i="3"/>
  <c r="Q523" i="3"/>
  <c r="R523" i="3"/>
  <c r="Q525" i="3"/>
  <c r="R525" i="3"/>
  <c r="Q513" i="3"/>
  <c r="R513" i="3"/>
  <c r="Q506" i="3"/>
  <c r="R506" i="3"/>
  <c r="Q504" i="3"/>
  <c r="R504" i="3"/>
  <c r="Q502" i="3"/>
  <c r="R502" i="3"/>
  <c r="Q500" i="3"/>
  <c r="R500" i="3"/>
  <c r="Q493" i="3"/>
  <c r="R493" i="3"/>
  <c r="Q483" i="3"/>
  <c r="R483" i="3"/>
  <c r="Q485" i="3"/>
  <c r="R485" i="3"/>
  <c r="Q487" i="3"/>
  <c r="R487" i="3"/>
  <c r="Q489" i="3"/>
  <c r="R489" i="3"/>
  <c r="Q491" i="3"/>
  <c r="R491" i="3"/>
  <c r="Q477" i="3"/>
  <c r="R477" i="3"/>
  <c r="Q475" i="3"/>
  <c r="R475" i="3"/>
  <c r="Q472" i="3"/>
  <c r="R472" i="3"/>
  <c r="Q463" i="3"/>
  <c r="R463" i="3"/>
  <c r="Q454" i="3"/>
  <c r="R454" i="3"/>
  <c r="Q447" i="3"/>
  <c r="R447" i="3"/>
  <c r="Q445" i="3"/>
  <c r="R445" i="3"/>
  <c r="Q443" i="3"/>
  <c r="R443" i="3"/>
  <c r="Q441" i="3"/>
  <c r="R441" i="3"/>
  <c r="Q439" i="3"/>
  <c r="R439" i="3"/>
  <c r="Q437" i="3"/>
  <c r="R437" i="3"/>
  <c r="Q435" i="3"/>
  <c r="R435" i="3"/>
  <c r="Q425" i="3"/>
  <c r="R425" i="3"/>
  <c r="Q423" i="3"/>
  <c r="R423" i="3"/>
  <c r="Q417" i="3"/>
  <c r="R417" i="3"/>
  <c r="Q408" i="3"/>
  <c r="R408" i="3"/>
  <c r="Q405" i="3"/>
  <c r="R405" i="3"/>
  <c r="Q403" i="3"/>
  <c r="R403" i="3"/>
  <c r="Q397" i="3"/>
  <c r="R397" i="3"/>
  <c r="Q395" i="3"/>
  <c r="R395" i="3"/>
  <c r="Q393" i="3"/>
  <c r="R393" i="3"/>
  <c r="Q385" i="3"/>
  <c r="R385" i="3"/>
  <c r="Q383" i="3"/>
  <c r="R383" i="3"/>
  <c r="Q379" i="3"/>
  <c r="R379" i="3"/>
  <c r="Q377" i="3"/>
  <c r="R377" i="3"/>
  <c r="Q374" i="3"/>
  <c r="R374" i="3"/>
  <c r="Q370" i="3"/>
  <c r="R370" i="3"/>
  <c r="Q368" i="3"/>
  <c r="R368" i="3"/>
  <c r="Q366" i="3"/>
  <c r="R366" i="3"/>
  <c r="Q363" i="3"/>
  <c r="R363" i="3"/>
  <c r="Q348" i="3"/>
  <c r="R348" i="3"/>
  <c r="Q346" i="3"/>
  <c r="R346" i="3"/>
  <c r="Q343" i="3"/>
  <c r="R343" i="3"/>
  <c r="Q340" i="3"/>
  <c r="R340" i="3"/>
  <c r="Q337" i="3"/>
  <c r="R337" i="3"/>
  <c r="Q333" i="3"/>
  <c r="R333" i="3"/>
  <c r="Q328" i="3"/>
  <c r="R328" i="3"/>
  <c r="Q315" i="3"/>
  <c r="R315" i="3"/>
  <c r="Q299" i="3"/>
  <c r="R299" i="3"/>
  <c r="Q297" i="3"/>
  <c r="R297" i="3"/>
  <c r="Q291" i="3"/>
  <c r="R291" i="3"/>
  <c r="Q285" i="3"/>
  <c r="R285" i="3"/>
  <c r="Q282" i="3"/>
  <c r="R282" i="3"/>
  <c r="Q280" i="3"/>
  <c r="R280" i="3"/>
  <c r="Q275" i="3"/>
  <c r="R275" i="3"/>
  <c r="Q268" i="3"/>
  <c r="R268" i="3"/>
  <c r="Q260" i="3"/>
  <c r="R260" i="3"/>
  <c r="Q224" i="3"/>
  <c r="R224" i="3"/>
  <c r="Q120" i="3"/>
  <c r="R120" i="3"/>
  <c r="S1159" i="3"/>
  <c r="S1158" i="3" s="1"/>
  <c r="S1157" i="3"/>
  <c r="S1156" i="3"/>
  <c r="S1155" i="3"/>
  <c r="S1153" i="3"/>
  <c r="S1152" i="3" s="1"/>
  <c r="S1151" i="3"/>
  <c r="S1150" i="3" s="1"/>
  <c r="S1149" i="3"/>
  <c r="S1148" i="3" s="1"/>
  <c r="S1147" i="3"/>
  <c r="S1146" i="3"/>
  <c r="S1145" i="3"/>
  <c r="S1143" i="3"/>
  <c r="S1142" i="3"/>
  <c r="S1140" i="3"/>
  <c r="S1139" i="3" s="1"/>
  <c r="S1138" i="3"/>
  <c r="S1137" i="3" s="1"/>
  <c r="S1136" i="3"/>
  <c r="S1135" i="3"/>
  <c r="S1133" i="3"/>
  <c r="S1132" i="3"/>
  <c r="S1131" i="3"/>
  <c r="S1130" i="3"/>
  <c r="S1128" i="3"/>
  <c r="S1127" i="3"/>
  <c r="S1126" i="3"/>
  <c r="S1124" i="3"/>
  <c r="S1123" i="3"/>
  <c r="S1121" i="3"/>
  <c r="S1120" i="3"/>
  <c r="S1118" i="3"/>
  <c r="S1117" i="3" s="1"/>
  <c r="S1116" i="3"/>
  <c r="S1115" i="3" s="1"/>
  <c r="S1114" i="3"/>
  <c r="S1113" i="3" s="1"/>
  <c r="S1112" i="3"/>
  <c r="S1111" i="3"/>
  <c r="S1110" i="3"/>
  <c r="S1108" i="3"/>
  <c r="S1107" i="3" s="1"/>
  <c r="S1106" i="3"/>
  <c r="S1105" i="3" s="1"/>
  <c r="S1104" i="3"/>
  <c r="S1103" i="3" s="1"/>
  <c r="S1102" i="3"/>
  <c r="S1101" i="3"/>
  <c r="S1100" i="3"/>
  <c r="S1098" i="3"/>
  <c r="S1097" i="3" s="1"/>
  <c r="S1096" i="3"/>
  <c r="S1095" i="3" s="1"/>
  <c r="S1094" i="3"/>
  <c r="S1093" i="3" s="1"/>
  <c r="S1092" i="3"/>
  <c r="S1091" i="3" s="1"/>
  <c r="S1090" i="3"/>
  <c r="S1089" i="3" s="1"/>
  <c r="S1088" i="3"/>
  <c r="S1087" i="3" s="1"/>
  <c r="S1086" i="3"/>
  <c r="S1085" i="3"/>
  <c r="S1084" i="3"/>
  <c r="S1082" i="3"/>
  <c r="S1081" i="3" s="1"/>
  <c r="S1080" i="3"/>
  <c r="S1079" i="3"/>
  <c r="S1077" i="3"/>
  <c r="S1076" i="3"/>
  <c r="S1075" i="3"/>
  <c r="S1073" i="3"/>
  <c r="S1072" i="3"/>
  <c r="S1070" i="3"/>
  <c r="S1069" i="3"/>
  <c r="S1068" i="3"/>
  <c r="S1067" i="3"/>
  <c r="S1066" i="3"/>
  <c r="S1065" i="3"/>
  <c r="S1063" i="3"/>
  <c r="S1062" i="3" s="1"/>
  <c r="S1061" i="3"/>
  <c r="S1060" i="3" s="1"/>
  <c r="S1059" i="3"/>
  <c r="S1058" i="3" s="1"/>
  <c r="S1057" i="3"/>
  <c r="S1056" i="3"/>
  <c r="S1054" i="3"/>
  <c r="S1053" i="3" s="1"/>
  <c r="S1052" i="3"/>
  <c r="S1051" i="3" s="1"/>
  <c r="S1050" i="3"/>
  <c r="S1049" i="3" s="1"/>
  <c r="S1048" i="3"/>
  <c r="S1047" i="3" s="1"/>
  <c r="S1046" i="3"/>
  <c r="S1045" i="3"/>
  <c r="S1043" i="3"/>
  <c r="S1042" i="3"/>
  <c r="S1041" i="3"/>
  <c r="S1040" i="3"/>
  <c r="S1039" i="3"/>
  <c r="S1038" i="3"/>
  <c r="S1037" i="3"/>
  <c r="S1035" i="3"/>
  <c r="S1034" i="3" s="1"/>
  <c r="S1033" i="3"/>
  <c r="S1032" i="3" s="1"/>
  <c r="S1031" i="3"/>
  <c r="S1030" i="3"/>
  <c r="S1028" i="3"/>
  <c r="S1027" i="3" s="1"/>
  <c r="S1026" i="3"/>
  <c r="S1025" i="3" s="1"/>
  <c r="S1024" i="3"/>
  <c r="S1023" i="3"/>
  <c r="S1021" i="3"/>
  <c r="S1020" i="3"/>
  <c r="S1018" i="3"/>
  <c r="S1017" i="3"/>
  <c r="S1016" i="3"/>
  <c r="S1014" i="3"/>
  <c r="S1013" i="3"/>
  <c r="S1012" i="3"/>
  <c r="S1011" i="3"/>
  <c r="S1010" i="3"/>
  <c r="S1009" i="3"/>
  <c r="S1008" i="3"/>
  <c r="S1007" i="3"/>
  <c r="S1005" i="3"/>
  <c r="S1004" i="3"/>
  <c r="S1002" i="3"/>
  <c r="S1001" i="3"/>
  <c r="S1000" i="3"/>
  <c r="S999" i="3"/>
  <c r="S998" i="3"/>
  <c r="S997" i="3"/>
  <c r="S996" i="3"/>
  <c r="S995" i="3"/>
  <c r="S994" i="3"/>
  <c r="S993" i="3"/>
  <c r="S992" i="3"/>
  <c r="S990" i="3"/>
  <c r="S989" i="3"/>
  <c r="S988" i="3"/>
  <c r="S987" i="3"/>
  <c r="S986" i="3"/>
  <c r="S985" i="3"/>
  <c r="S984" i="3"/>
  <c r="S983" i="3"/>
  <c r="S982" i="3"/>
  <c r="S981" i="3"/>
  <c r="S980" i="3"/>
  <c r="S979" i="3"/>
  <c r="S978" i="3"/>
  <c r="S977" i="3"/>
  <c r="S976" i="3"/>
  <c r="S975" i="3"/>
  <c r="S974" i="3"/>
  <c r="S973" i="3"/>
  <c r="S972" i="3"/>
  <c r="S971" i="3"/>
  <c r="S970" i="3"/>
  <c r="S969" i="3"/>
  <c r="S968" i="3"/>
  <c r="S967" i="3"/>
  <c r="S966" i="3"/>
  <c r="S965" i="3"/>
  <c r="S964" i="3"/>
  <c r="S962" i="3"/>
  <c r="S961" i="3"/>
  <c r="S960" i="3"/>
  <c r="S959" i="3"/>
  <c r="S958" i="3"/>
  <c r="S957" i="3"/>
  <c r="S956" i="3"/>
  <c r="S955" i="3"/>
  <c r="S954" i="3"/>
  <c r="S953" i="3"/>
  <c r="S952" i="3"/>
  <c r="S951" i="3"/>
  <c r="S950" i="3"/>
  <c r="S949" i="3"/>
  <c r="S890" i="3"/>
  <c r="S889" i="3" s="1"/>
  <c r="S887" i="3"/>
  <c r="S886" i="3" s="1"/>
  <c r="S885" i="3"/>
  <c r="S884" i="3" s="1"/>
  <c r="S883" i="3"/>
  <c r="S882" i="3"/>
  <c r="S880" i="3"/>
  <c r="S879" i="3" s="1"/>
  <c r="S878" i="3"/>
  <c r="S877" i="3"/>
  <c r="S876" i="3"/>
  <c r="S874" i="3"/>
  <c r="S873" i="3" s="1"/>
  <c r="S872" i="3"/>
  <c r="S871" i="3" s="1"/>
  <c r="S870" i="3"/>
  <c r="S869" i="3" s="1"/>
  <c r="S868" i="3"/>
  <c r="S867" i="3"/>
  <c r="S865" i="3"/>
  <c r="S864" i="3"/>
  <c r="S863" i="3"/>
  <c r="S861" i="3"/>
  <c r="S860" i="3"/>
  <c r="S859" i="3"/>
  <c r="S857" i="3"/>
  <c r="S856" i="3" s="1"/>
  <c r="S855" i="3"/>
  <c r="S854" i="3" s="1"/>
  <c r="S853" i="3"/>
  <c r="S852" i="3" s="1"/>
  <c r="S851" i="3"/>
  <c r="S850" i="3" s="1"/>
  <c r="S849" i="3"/>
  <c r="S848" i="3"/>
  <c r="S846" i="3"/>
  <c r="S845" i="3"/>
  <c r="S844" i="3"/>
  <c r="S843" i="3"/>
  <c r="S842" i="3"/>
  <c r="S840" i="3"/>
  <c r="S839" i="3" s="1"/>
  <c r="S838" i="3"/>
  <c r="S837" i="3" s="1"/>
  <c r="S836" i="3"/>
  <c r="S835" i="3"/>
  <c r="S833" i="3"/>
  <c r="S832" i="3" s="1"/>
  <c r="S831" i="3"/>
  <c r="S830" i="3" s="1"/>
  <c r="S829" i="3"/>
  <c r="S828" i="3" s="1"/>
  <c r="S827" i="3"/>
  <c r="S826" i="3" s="1"/>
  <c r="S825" i="3"/>
  <c r="S824" i="3" s="1"/>
  <c r="S823" i="3"/>
  <c r="S822" i="3" s="1"/>
  <c r="S821" i="3"/>
  <c r="S820" i="3" s="1"/>
  <c r="S819" i="3"/>
  <c r="S818" i="3"/>
  <c r="S816" i="3"/>
  <c r="S815" i="3"/>
  <c r="S814" i="3"/>
  <c r="S813" i="3"/>
  <c r="S811" i="3"/>
  <c r="S810" i="3" s="1"/>
  <c r="S809" i="3"/>
  <c r="S808" i="3" s="1"/>
  <c r="S807" i="3"/>
  <c r="S806" i="3"/>
  <c r="S804" i="3"/>
  <c r="S803" i="3" s="1"/>
  <c r="S802" i="3"/>
  <c r="S801" i="3"/>
  <c r="S800" i="3"/>
  <c r="S799" i="3"/>
  <c r="S798" i="3"/>
  <c r="S797" i="3"/>
  <c r="S796" i="3"/>
  <c r="S795" i="3"/>
  <c r="S793" i="3"/>
  <c r="S792" i="3" s="1"/>
  <c r="S791" i="3"/>
  <c r="S790" i="3" s="1"/>
  <c r="S789" i="3"/>
  <c r="S788" i="3" s="1"/>
  <c r="S787" i="3"/>
  <c r="S786" i="3" s="1"/>
  <c r="S785" i="3"/>
  <c r="S784" i="3" s="1"/>
  <c r="S783" i="3"/>
  <c r="S782" i="3" s="1"/>
  <c r="S781" i="3"/>
  <c r="S780" i="3" s="1"/>
  <c r="S779" i="3"/>
  <c r="S778" i="3"/>
  <c r="S776" i="3"/>
  <c r="S775" i="3"/>
  <c r="S774" i="3"/>
  <c r="S773" i="3"/>
  <c r="S772" i="3"/>
  <c r="S771" i="3"/>
  <c r="S769" i="3"/>
  <c r="S768" i="3" s="1"/>
  <c r="S767" i="3"/>
  <c r="S766" i="3" s="1"/>
  <c r="S765" i="3"/>
  <c r="S764" i="3"/>
  <c r="S762" i="3"/>
  <c r="S761" i="3"/>
  <c r="S759" i="3"/>
  <c r="S758" i="3"/>
  <c r="S756" i="3"/>
  <c r="S755" i="3"/>
  <c r="S754" i="3"/>
  <c r="S753" i="3"/>
  <c r="S751" i="3"/>
  <c r="S750" i="3"/>
  <c r="S748" i="3"/>
  <c r="S747" i="3"/>
  <c r="S746" i="3"/>
  <c r="S745" i="3"/>
  <c r="S744" i="3"/>
  <c r="S743" i="3"/>
  <c r="S742" i="3"/>
  <c r="S741" i="3"/>
  <c r="S740" i="3"/>
  <c r="S739" i="3"/>
  <c r="S738" i="3"/>
  <c r="S737" i="3"/>
  <c r="S735" i="3"/>
  <c r="S734" i="3"/>
  <c r="S733" i="3"/>
  <c r="S720" i="3"/>
  <c r="S719" i="3"/>
  <c r="S718" i="3"/>
  <c r="S717" i="3"/>
  <c r="S716" i="3"/>
  <c r="S715" i="3"/>
  <c r="S714" i="3"/>
  <c r="S713" i="3"/>
  <c r="S712" i="3"/>
  <c r="S656" i="3"/>
  <c r="S655" i="3" s="1"/>
  <c r="S654" i="3"/>
  <c r="S653" i="3"/>
  <c r="S652" i="3"/>
  <c r="S651" i="3"/>
  <c r="S650" i="3"/>
  <c r="S649" i="3"/>
  <c r="S648" i="3"/>
  <c r="S530" i="3"/>
  <c r="S529" i="3"/>
  <c r="S526" i="3"/>
  <c r="S525" i="3" s="1"/>
  <c r="S524" i="3"/>
  <c r="S523" i="3" s="1"/>
  <c r="S522" i="3"/>
  <c r="S521" i="3"/>
  <c r="S520" i="3"/>
  <c r="S518" i="3"/>
  <c r="S517" i="3"/>
  <c r="S516" i="3"/>
  <c r="S515" i="3"/>
  <c r="S514" i="3"/>
  <c r="S512" i="3"/>
  <c r="S511" i="3"/>
  <c r="S510" i="3"/>
  <c r="S509" i="3"/>
  <c r="S508" i="3"/>
  <c r="S507" i="3"/>
  <c r="S505" i="3"/>
  <c r="S504" i="3" s="1"/>
  <c r="S503" i="3"/>
  <c r="S502" i="3" s="1"/>
  <c r="S501" i="3"/>
  <c r="S500" i="3" s="1"/>
  <c r="S499" i="3"/>
  <c r="S498" i="3"/>
  <c r="S497" i="3"/>
  <c r="S496" i="3"/>
  <c r="S495" i="3"/>
  <c r="S494" i="3"/>
  <c r="S492" i="3"/>
  <c r="S491" i="3" s="1"/>
  <c r="S490" i="3"/>
  <c r="S489" i="3" s="1"/>
  <c r="S488" i="3"/>
  <c r="S487" i="3" s="1"/>
  <c r="S486" i="3"/>
  <c r="S485" i="3" s="1"/>
  <c r="S484" i="3"/>
  <c r="S483" i="3" s="1"/>
  <c r="S482" i="3"/>
  <c r="S481" i="3"/>
  <c r="S480" i="3"/>
  <c r="S479" i="3"/>
  <c r="S478" i="3"/>
  <c r="S476" i="3"/>
  <c r="S475" i="3" s="1"/>
  <c r="S474" i="3"/>
  <c r="S473" i="3"/>
  <c r="S471" i="3"/>
  <c r="S470" i="3"/>
  <c r="S469" i="3"/>
  <c r="S468" i="3"/>
  <c r="S467" i="3"/>
  <c r="S466" i="3"/>
  <c r="S465" i="3"/>
  <c r="S464" i="3"/>
  <c r="S462" i="3"/>
  <c r="S461" i="3"/>
  <c r="S460" i="3"/>
  <c r="S459" i="3"/>
  <c r="S458" i="3"/>
  <c r="S457" i="3"/>
  <c r="S456" i="3"/>
  <c r="S455" i="3"/>
  <c r="S453" i="3"/>
  <c r="S452" i="3"/>
  <c r="S451" i="3"/>
  <c r="S450" i="3"/>
  <c r="S449" i="3"/>
  <c r="S448" i="3"/>
  <c r="S446" i="3"/>
  <c r="S445" i="3" s="1"/>
  <c r="S444" i="3"/>
  <c r="S443" i="3" s="1"/>
  <c r="S442" i="3"/>
  <c r="S441" i="3" s="1"/>
  <c r="S440" i="3"/>
  <c r="S439" i="3" s="1"/>
  <c r="S438" i="3"/>
  <c r="S437" i="3" s="1"/>
  <c r="S436" i="3"/>
  <c r="S435" i="3" s="1"/>
  <c r="S434" i="3"/>
  <c r="S433" i="3"/>
  <c r="S432" i="3"/>
  <c r="S431" i="3"/>
  <c r="S430" i="3"/>
  <c r="S429" i="3"/>
  <c r="S428" i="3"/>
  <c r="S427" i="3"/>
  <c r="S426" i="3"/>
  <c r="S424" i="3"/>
  <c r="S423" i="3" s="1"/>
  <c r="S422" i="3"/>
  <c r="S421" i="3"/>
  <c r="S420" i="3"/>
  <c r="S419" i="3"/>
  <c r="S418" i="3"/>
  <c r="S416" i="3"/>
  <c r="S415" i="3"/>
  <c r="S414" i="3"/>
  <c r="S413" i="3"/>
  <c r="S412" i="3"/>
  <c r="S411" i="3"/>
  <c r="S410" i="3"/>
  <c r="S409" i="3"/>
  <c r="S407" i="3"/>
  <c r="S406" i="3"/>
  <c r="S404" i="3"/>
  <c r="S403" i="3" s="1"/>
  <c r="S402" i="3"/>
  <c r="S401" i="3"/>
  <c r="S400" i="3"/>
  <c r="S399" i="3"/>
  <c r="S398" i="3"/>
  <c r="S396" i="3"/>
  <c r="S395" i="3" s="1"/>
  <c r="S394" i="3"/>
  <c r="S393" i="3" s="1"/>
  <c r="S392" i="3"/>
  <c r="S391" i="3"/>
  <c r="S390" i="3"/>
  <c r="S389" i="3"/>
  <c r="S388" i="3"/>
  <c r="S387" i="3"/>
  <c r="S386" i="3"/>
  <c r="S384" i="3"/>
  <c r="S383" i="3" s="1"/>
  <c r="S382" i="3"/>
  <c r="S381" i="3"/>
  <c r="S380" i="3"/>
  <c r="S378" i="3"/>
  <c r="S377" i="3" s="1"/>
  <c r="S376" i="3"/>
  <c r="S375" i="3"/>
  <c r="S373" i="3"/>
  <c r="S372" i="3"/>
  <c r="S371" i="3"/>
  <c r="S369" i="3"/>
  <c r="S368" i="3" s="1"/>
  <c r="S367" i="3"/>
  <c r="S366" i="3" s="1"/>
  <c r="S365" i="3"/>
  <c r="S364" i="3"/>
  <c r="S362" i="3"/>
  <c r="S361" i="3"/>
  <c r="S360" i="3"/>
  <c r="S359" i="3"/>
  <c r="S358" i="3"/>
  <c r="S357" i="3"/>
  <c r="S356" i="3"/>
  <c r="S355" i="3"/>
  <c r="S354" i="3"/>
  <c r="S353" i="3"/>
  <c r="S352" i="3"/>
  <c r="S351" i="3"/>
  <c r="S350" i="3"/>
  <c r="S349" i="3"/>
  <c r="S347" i="3"/>
  <c r="S346" i="3" s="1"/>
  <c r="S345" i="3"/>
  <c r="S344" i="3"/>
  <c r="S342" i="3"/>
  <c r="S341" i="3"/>
  <c r="S339" i="3"/>
  <c r="S338" i="3"/>
  <c r="S336" i="3"/>
  <c r="S335" i="3"/>
  <c r="S334" i="3"/>
  <c r="S332" i="3"/>
  <c r="S331" i="3"/>
  <c r="S330" i="3"/>
  <c r="S329" i="3"/>
  <c r="S327" i="3"/>
  <c r="S326" i="3"/>
  <c r="S325" i="3"/>
  <c r="S324" i="3"/>
  <c r="S323" i="3"/>
  <c r="S322" i="3"/>
  <c r="S321" i="3"/>
  <c r="S320" i="3"/>
  <c r="S319" i="3"/>
  <c r="S318" i="3"/>
  <c r="S317" i="3"/>
  <c r="S316" i="3"/>
  <c r="S314" i="3"/>
  <c r="S313" i="3"/>
  <c r="S312" i="3"/>
  <c r="S311" i="3"/>
  <c r="S310" i="3"/>
  <c r="S309" i="3"/>
  <c r="S308" i="3"/>
  <c r="S307" i="3"/>
  <c r="S306" i="3"/>
  <c r="S305" i="3"/>
  <c r="S304" i="3"/>
  <c r="S303" i="3"/>
  <c r="S302" i="3"/>
  <c r="S301" i="3"/>
  <c r="S300" i="3"/>
  <c r="S298" i="3"/>
  <c r="S297" i="3" s="1"/>
  <c r="S296" i="3"/>
  <c r="S295" i="3"/>
  <c r="S294" i="3"/>
  <c r="S293" i="3"/>
  <c r="S292" i="3"/>
  <c r="S290" i="3"/>
  <c r="S289" i="3"/>
  <c r="S288" i="3"/>
  <c r="S287" i="3"/>
  <c r="S286" i="3"/>
  <c r="S284" i="3"/>
  <c r="S283" i="3"/>
  <c r="S281" i="3"/>
  <c r="S280" i="3" s="1"/>
  <c r="S279" i="3"/>
  <c r="S278" i="3"/>
  <c r="S277" i="3"/>
  <c r="S276" i="3"/>
  <c r="S274" i="3"/>
  <c r="S273" i="3"/>
  <c r="S272" i="3"/>
  <c r="S271" i="3"/>
  <c r="S270" i="3"/>
  <c r="S269" i="3"/>
  <c r="S267" i="3"/>
  <c r="S266" i="3"/>
  <c r="S265" i="3"/>
  <c r="S264" i="3"/>
  <c r="S263" i="3"/>
  <c r="S262" i="3"/>
  <c r="S261" i="3"/>
  <c r="S233" i="3"/>
  <c r="S232" i="3"/>
  <c r="S231" i="3"/>
  <c r="S229" i="3"/>
  <c r="S228" i="3"/>
  <c r="S227" i="3"/>
  <c r="S226" i="3"/>
  <c r="S225" i="3"/>
  <c r="S196" i="3"/>
  <c r="S195" i="3"/>
  <c r="S194" i="3"/>
  <c r="S156" i="3"/>
  <c r="S155" i="3" s="1"/>
  <c r="S121" i="3"/>
  <c r="S16" i="3"/>
  <c r="S15" i="3" s="1"/>
  <c r="Q15" i="3"/>
  <c r="R15" i="3"/>
  <c r="S193" i="3" l="1"/>
  <c r="S711" i="3"/>
  <c r="S230" i="3"/>
  <c r="S528" i="3"/>
  <c r="U13" i="3"/>
  <c r="S732" i="3"/>
  <c r="S757" i="3"/>
  <c r="S763" i="3"/>
  <c r="S805" i="3"/>
  <c r="S817" i="3"/>
  <c r="S862" i="3"/>
  <c r="S1044" i="3"/>
  <c r="S749" i="3"/>
  <c r="S760" i="3"/>
  <c r="S777" i="3"/>
  <c r="S847" i="3"/>
  <c r="S866" i="3"/>
  <c r="S1055" i="3"/>
  <c r="S1078" i="3"/>
  <c r="Q888" i="3"/>
  <c r="S1015" i="3"/>
  <c r="R527" i="3"/>
  <c r="R888" i="3"/>
  <c r="S1006" i="3"/>
  <c r="S337" i="3"/>
  <c r="S343" i="3"/>
  <c r="S374" i="3"/>
  <c r="S642" i="3"/>
  <c r="S1109" i="3"/>
  <c r="S1122" i="3"/>
  <c r="S963" i="3"/>
  <c r="S1119" i="3"/>
  <c r="S472" i="3"/>
  <c r="S379" i="3"/>
  <c r="S340" i="3"/>
  <c r="S405" i="3"/>
  <c r="S268" i="3"/>
  <c r="S282" i="3"/>
  <c r="S333" i="3"/>
  <c r="S363" i="3"/>
  <c r="S370" i="3"/>
  <c r="Q527" i="3"/>
  <c r="S260" i="3"/>
  <c r="S275" i="3"/>
  <c r="S285" i="3"/>
  <c r="S291" i="3"/>
  <c r="S348" i="3"/>
  <c r="S385" i="3"/>
  <c r="S397" i="3"/>
  <c r="S408" i="3"/>
  <c r="S417" i="3"/>
  <c r="S454" i="3"/>
  <c r="S463" i="3"/>
  <c r="S493" i="3"/>
  <c r="S513" i="3"/>
  <c r="S519" i="3"/>
  <c r="S736" i="3"/>
  <c r="S841" i="3"/>
  <c r="S948" i="3"/>
  <c r="S1003" i="3"/>
  <c r="S1099" i="3"/>
  <c r="S1125" i="3"/>
  <c r="S875" i="3"/>
  <c r="S881" i="3"/>
  <c r="S991" i="3"/>
  <c r="S1019" i="3"/>
  <c r="S1064" i="3"/>
  <c r="S1074" i="3"/>
  <c r="S1144" i="3"/>
  <c r="S224" i="3"/>
  <c r="S299" i="3"/>
  <c r="S315" i="3"/>
  <c r="S328" i="3"/>
  <c r="S425" i="3"/>
  <c r="S447" i="3"/>
  <c r="S477" i="3"/>
  <c r="S506" i="3"/>
  <c r="S752" i="3"/>
  <c r="S770" i="3"/>
  <c r="S794" i="3"/>
  <c r="S812" i="3"/>
  <c r="S858" i="3"/>
  <c r="S834" i="3"/>
  <c r="S1022" i="3"/>
  <c r="S1029" i="3"/>
  <c r="S1036" i="3"/>
  <c r="S1071" i="3"/>
  <c r="S1083" i="3"/>
  <c r="S1129" i="3"/>
  <c r="S1134" i="3"/>
  <c r="S1141" i="3"/>
  <c r="S1154" i="3"/>
  <c r="R14" i="3"/>
  <c r="S120" i="3"/>
  <c r="Q14" i="3"/>
  <c r="Q13" i="3" l="1"/>
  <c r="R13" i="3"/>
  <c r="S888" i="3"/>
  <c r="S14" i="3"/>
  <c r="S527" i="3"/>
  <c r="S13" i="3" l="1"/>
  <c r="N1155" i="7"/>
  <c r="N223" i="7" l="1"/>
  <c r="D79" i="5" l="1"/>
  <c r="E79" i="5"/>
  <c r="F79" i="5"/>
  <c r="C79" i="5"/>
  <c r="D11" i="5"/>
  <c r="E11" i="5"/>
  <c r="F11" i="5"/>
  <c r="C11" i="5"/>
  <c r="D9" i="10"/>
  <c r="E9" i="10"/>
  <c r="F9" i="10"/>
  <c r="C9" i="10"/>
  <c r="J53" i="9"/>
  <c r="L53" i="9"/>
  <c r="I53" i="9"/>
  <c r="P53" i="9" s="1"/>
  <c r="J61" i="9"/>
  <c r="K61" i="9"/>
  <c r="L61" i="9"/>
  <c r="I61" i="9"/>
  <c r="P61" i="9" s="1"/>
  <c r="J59" i="9"/>
  <c r="K59" i="9"/>
  <c r="L59" i="9"/>
  <c r="I59" i="9"/>
  <c r="P59" i="9" s="1"/>
  <c r="B62" i="9"/>
  <c r="B60" i="9"/>
  <c r="B56" i="9"/>
  <c r="J1158" i="3"/>
  <c r="K1158" i="3"/>
  <c r="L1158" i="3"/>
  <c r="I1158" i="3"/>
  <c r="T1158" i="3" s="1"/>
  <c r="J1154" i="3"/>
  <c r="K1154" i="3"/>
  <c r="L1154" i="3"/>
  <c r="I1154" i="3"/>
  <c r="T1154" i="3" s="1"/>
  <c r="J1152" i="3"/>
  <c r="K1152" i="3"/>
  <c r="L1152" i="3"/>
  <c r="I1152" i="3"/>
  <c r="T1152" i="3" s="1"/>
  <c r="J1150" i="3"/>
  <c r="K1150" i="3"/>
  <c r="L1150" i="3"/>
  <c r="J1148" i="3"/>
  <c r="K1148" i="3"/>
  <c r="L1148" i="3"/>
  <c r="I1150" i="3"/>
  <c r="T1150" i="3" s="1"/>
  <c r="I1148" i="3"/>
  <c r="T1148" i="3" s="1"/>
  <c r="J1144" i="3"/>
  <c r="K1144" i="3"/>
  <c r="L1144" i="3"/>
  <c r="I1144" i="3"/>
  <c r="T1144" i="3" s="1"/>
  <c r="J1141" i="3"/>
  <c r="K1141" i="3"/>
  <c r="L1141" i="3"/>
  <c r="I1141" i="3"/>
  <c r="T1141" i="3" s="1"/>
  <c r="J1139" i="3"/>
  <c r="K1139" i="3"/>
  <c r="L1139" i="3"/>
  <c r="I1139" i="3"/>
  <c r="T1139" i="3" s="1"/>
  <c r="J1137" i="3"/>
  <c r="K1137" i="3"/>
  <c r="L1137" i="3"/>
  <c r="I1137" i="3"/>
  <c r="T1137" i="3" s="1"/>
  <c r="J1134" i="3"/>
  <c r="K1134" i="3"/>
  <c r="L1134" i="3"/>
  <c r="I1134" i="3"/>
  <c r="T1134" i="3" s="1"/>
  <c r="J1129" i="3"/>
  <c r="K1129" i="3"/>
  <c r="L1129" i="3"/>
  <c r="I1129" i="3"/>
  <c r="T1129" i="3" s="1"/>
  <c r="J1125" i="3"/>
  <c r="K1125" i="3"/>
  <c r="L1125" i="3"/>
  <c r="I1125" i="3"/>
  <c r="T1125" i="3" s="1"/>
  <c r="J1122" i="3"/>
  <c r="K1122" i="3"/>
  <c r="L1122" i="3"/>
  <c r="I1122" i="3"/>
  <c r="T1122" i="3" s="1"/>
  <c r="J1119" i="3"/>
  <c r="K1119" i="3"/>
  <c r="L1119" i="3"/>
  <c r="I1119" i="3"/>
  <c r="T1119" i="3" s="1"/>
  <c r="J1117" i="3"/>
  <c r="K1117" i="3"/>
  <c r="L1117" i="3"/>
  <c r="I1117" i="3"/>
  <c r="T1117" i="3" s="1"/>
  <c r="J1115" i="3"/>
  <c r="K1115" i="3"/>
  <c r="L1115" i="3"/>
  <c r="I1115" i="3"/>
  <c r="T1115" i="3" s="1"/>
  <c r="J1113" i="3"/>
  <c r="K1113" i="3"/>
  <c r="L1113" i="3"/>
  <c r="I1113" i="3"/>
  <c r="T1113" i="3" s="1"/>
  <c r="AE49" i="8"/>
  <c r="J1109" i="3"/>
  <c r="K1109" i="3"/>
  <c r="L1109" i="3"/>
  <c r="I1109" i="3"/>
  <c r="T1109" i="3" s="1"/>
  <c r="J1107" i="3"/>
  <c r="K1107" i="3"/>
  <c r="L1107" i="3"/>
  <c r="I1107" i="3"/>
  <c r="T1107" i="3" s="1"/>
  <c r="J1105" i="3"/>
  <c r="K1105" i="3"/>
  <c r="L1105" i="3"/>
  <c r="I1105" i="3"/>
  <c r="T1105" i="3" s="1"/>
  <c r="J1103" i="3"/>
  <c r="K1103" i="3"/>
  <c r="L1103" i="3"/>
  <c r="I1103" i="3"/>
  <c r="T1103" i="3" s="1"/>
  <c r="J1099" i="3"/>
  <c r="K1099" i="3"/>
  <c r="L1099" i="3"/>
  <c r="I1099" i="3"/>
  <c r="T1099" i="3" s="1"/>
  <c r="J1097" i="3"/>
  <c r="K1097" i="3"/>
  <c r="L1097" i="3"/>
  <c r="I1097" i="3"/>
  <c r="T1097" i="3" s="1"/>
  <c r="J1087" i="3"/>
  <c r="K1087" i="3"/>
  <c r="L1087" i="3"/>
  <c r="J1089" i="3"/>
  <c r="K1089" i="3"/>
  <c r="L1089" i="3"/>
  <c r="J1091" i="3"/>
  <c r="K1091" i="3"/>
  <c r="L1091" i="3"/>
  <c r="J1093" i="3"/>
  <c r="K1093" i="3"/>
  <c r="L1093" i="3"/>
  <c r="J1095" i="3"/>
  <c r="K1095" i="3"/>
  <c r="L1095" i="3"/>
  <c r="I1095" i="3"/>
  <c r="T1095" i="3" s="1"/>
  <c r="I1093" i="3"/>
  <c r="T1093" i="3" s="1"/>
  <c r="I1091" i="3"/>
  <c r="T1091" i="3" s="1"/>
  <c r="I1089" i="3"/>
  <c r="T1089" i="3" s="1"/>
  <c r="I1087" i="3"/>
  <c r="T1087" i="3" s="1"/>
  <c r="J1083" i="3"/>
  <c r="K1083" i="3"/>
  <c r="L1083" i="3"/>
  <c r="I1083" i="3"/>
  <c r="T1083" i="3" s="1"/>
  <c r="J1081" i="3"/>
  <c r="K1081" i="3"/>
  <c r="L1081" i="3"/>
  <c r="I1081" i="3"/>
  <c r="T1081" i="3" s="1"/>
  <c r="J1078" i="3"/>
  <c r="K1078" i="3"/>
  <c r="L1078" i="3"/>
  <c r="I1078" i="3"/>
  <c r="T1078" i="3" s="1"/>
  <c r="J1074" i="3"/>
  <c r="K1074" i="3"/>
  <c r="L1074" i="3"/>
  <c r="I1074" i="3"/>
  <c r="T1074" i="3" s="1"/>
  <c r="J1071" i="3"/>
  <c r="K1071" i="3"/>
  <c r="L1071" i="3"/>
  <c r="I1071" i="3"/>
  <c r="T1071" i="3" s="1"/>
  <c r="J1064" i="3"/>
  <c r="K1064" i="3"/>
  <c r="L1064" i="3"/>
  <c r="I1064" i="3"/>
  <c r="T1064" i="3" s="1"/>
  <c r="J1062" i="3"/>
  <c r="K1062" i="3"/>
  <c r="L1062" i="3"/>
  <c r="I1062" i="3"/>
  <c r="T1062" i="3" s="1"/>
  <c r="J1060" i="3"/>
  <c r="K1060" i="3"/>
  <c r="L1060" i="3"/>
  <c r="I1060" i="3"/>
  <c r="T1060" i="3" s="1"/>
  <c r="J1058" i="3"/>
  <c r="K1058" i="3"/>
  <c r="L1058" i="3"/>
  <c r="I1058" i="3"/>
  <c r="T1058" i="3" s="1"/>
  <c r="J1055" i="3"/>
  <c r="K1055" i="3"/>
  <c r="L1055" i="3"/>
  <c r="I1055" i="3"/>
  <c r="T1055" i="3" s="1"/>
  <c r="J1053" i="3"/>
  <c r="K1053" i="3"/>
  <c r="L1053" i="3"/>
  <c r="I1053" i="3"/>
  <c r="T1053" i="3" s="1"/>
  <c r="J1051" i="3"/>
  <c r="K1051" i="3"/>
  <c r="L1051" i="3"/>
  <c r="I1051" i="3"/>
  <c r="T1051" i="3" s="1"/>
  <c r="J1049" i="3"/>
  <c r="K1049" i="3"/>
  <c r="L1049" i="3"/>
  <c r="I1049" i="3"/>
  <c r="T1049" i="3" s="1"/>
  <c r="J1047" i="3"/>
  <c r="K1047" i="3"/>
  <c r="L1047" i="3"/>
  <c r="I1047" i="3"/>
  <c r="T1047" i="3" s="1"/>
  <c r="J1044" i="3"/>
  <c r="K1044" i="3"/>
  <c r="L1044" i="3"/>
  <c r="I1044" i="3"/>
  <c r="T1044" i="3" s="1"/>
  <c r="J1036" i="3"/>
  <c r="K1036" i="3"/>
  <c r="L1036" i="3"/>
  <c r="I1036" i="3"/>
  <c r="T1036" i="3" s="1"/>
  <c r="J1032" i="3"/>
  <c r="K1032" i="3"/>
  <c r="L1032" i="3"/>
  <c r="J1034" i="3"/>
  <c r="K1034" i="3"/>
  <c r="L1034" i="3"/>
  <c r="I1034" i="3"/>
  <c r="T1034" i="3" s="1"/>
  <c r="I1032" i="3"/>
  <c r="T1032" i="3" s="1"/>
  <c r="J1025" i="3"/>
  <c r="K1025" i="3"/>
  <c r="L1025" i="3"/>
  <c r="J1027" i="3"/>
  <c r="K1027" i="3"/>
  <c r="L1027" i="3"/>
  <c r="J1029" i="3"/>
  <c r="K1029" i="3"/>
  <c r="L1029" i="3"/>
  <c r="I1029" i="3"/>
  <c r="T1029" i="3" s="1"/>
  <c r="I1027" i="3"/>
  <c r="T1027" i="3" s="1"/>
  <c r="I1025" i="3"/>
  <c r="T1025" i="3" s="1"/>
  <c r="J1022" i="3"/>
  <c r="K1022" i="3"/>
  <c r="L1022" i="3"/>
  <c r="I1022" i="3"/>
  <c r="T1022" i="3" s="1"/>
  <c r="J1019" i="3"/>
  <c r="K1019" i="3"/>
  <c r="L1019" i="3"/>
  <c r="I1019" i="3"/>
  <c r="T1019" i="3" s="1"/>
  <c r="J1015" i="3"/>
  <c r="K1015" i="3"/>
  <c r="L1015" i="3"/>
  <c r="I1015" i="3"/>
  <c r="T1015" i="3" s="1"/>
  <c r="J1006" i="3"/>
  <c r="K1006" i="3"/>
  <c r="L1006" i="3"/>
  <c r="I1006" i="3"/>
  <c r="T1006" i="3" s="1"/>
  <c r="J1003" i="3"/>
  <c r="K1003" i="3"/>
  <c r="L1003" i="3"/>
  <c r="I1003" i="3"/>
  <c r="T1003" i="3" s="1"/>
  <c r="J991" i="3"/>
  <c r="K991" i="3"/>
  <c r="L991" i="3"/>
  <c r="I991" i="3"/>
  <c r="T991" i="3" s="1"/>
  <c r="J963" i="3"/>
  <c r="K963" i="3"/>
  <c r="L963" i="3"/>
  <c r="I963" i="3"/>
  <c r="T963" i="3" s="1"/>
  <c r="J948" i="3"/>
  <c r="K948" i="3"/>
  <c r="L948" i="3"/>
  <c r="I948" i="3"/>
  <c r="T948" i="3" s="1"/>
  <c r="T889" i="3"/>
  <c r="J884" i="3"/>
  <c r="K884" i="3"/>
  <c r="L884" i="3"/>
  <c r="J886" i="3"/>
  <c r="K886" i="3"/>
  <c r="L886" i="3"/>
  <c r="I886" i="3"/>
  <c r="T886" i="3" s="1"/>
  <c r="I884" i="3"/>
  <c r="T884" i="3" s="1"/>
  <c r="J879" i="3"/>
  <c r="K879" i="3"/>
  <c r="L879" i="3"/>
  <c r="J881" i="3"/>
  <c r="K881" i="3"/>
  <c r="L881" i="3"/>
  <c r="I881" i="3"/>
  <c r="T881" i="3" s="1"/>
  <c r="I879" i="3"/>
  <c r="T879" i="3" s="1"/>
  <c r="J875" i="3"/>
  <c r="K875" i="3"/>
  <c r="L875" i="3"/>
  <c r="I875" i="3"/>
  <c r="T875" i="3" s="1"/>
  <c r="J869" i="3"/>
  <c r="K869" i="3"/>
  <c r="L869" i="3"/>
  <c r="J871" i="3"/>
  <c r="K871" i="3"/>
  <c r="L871" i="3"/>
  <c r="J873" i="3"/>
  <c r="K873" i="3"/>
  <c r="L873" i="3"/>
  <c r="I873" i="3"/>
  <c r="T873" i="3" s="1"/>
  <c r="I871" i="3"/>
  <c r="T871" i="3" s="1"/>
  <c r="I869" i="3"/>
  <c r="T869" i="3" s="1"/>
  <c r="J866" i="3"/>
  <c r="K866" i="3"/>
  <c r="L866" i="3"/>
  <c r="I866" i="3"/>
  <c r="T866" i="3" s="1"/>
  <c r="J862" i="3"/>
  <c r="K862" i="3"/>
  <c r="L862" i="3"/>
  <c r="I862" i="3"/>
  <c r="T862" i="3" s="1"/>
  <c r="J858" i="3"/>
  <c r="K858" i="3"/>
  <c r="L858" i="3"/>
  <c r="I858" i="3"/>
  <c r="T858" i="3" s="1"/>
  <c r="J856" i="3"/>
  <c r="K856" i="3"/>
  <c r="L856" i="3"/>
  <c r="I856" i="3"/>
  <c r="T856" i="3" s="1"/>
  <c r="J854" i="3"/>
  <c r="K854" i="3"/>
  <c r="L854" i="3"/>
  <c r="I854" i="3"/>
  <c r="T854" i="3" s="1"/>
  <c r="J852" i="3"/>
  <c r="K852" i="3"/>
  <c r="L852" i="3"/>
  <c r="I852" i="3"/>
  <c r="T852" i="3" s="1"/>
  <c r="J850" i="3"/>
  <c r="K850" i="3"/>
  <c r="L850" i="3"/>
  <c r="I850" i="3"/>
  <c r="T850" i="3" s="1"/>
  <c r="J847" i="3"/>
  <c r="K847" i="3"/>
  <c r="L847" i="3"/>
  <c r="I847" i="3"/>
  <c r="T847" i="3" s="1"/>
  <c r="J841" i="3"/>
  <c r="K841" i="3"/>
  <c r="L841" i="3"/>
  <c r="I841" i="3"/>
  <c r="T841" i="3" s="1"/>
  <c r="J839" i="3"/>
  <c r="K839" i="3"/>
  <c r="L839" i="3"/>
  <c r="I839" i="3"/>
  <c r="T839" i="3" s="1"/>
  <c r="J828" i="3"/>
  <c r="K828" i="3"/>
  <c r="L828" i="3"/>
  <c r="J830" i="3"/>
  <c r="K830" i="3"/>
  <c r="L830" i="3"/>
  <c r="J832" i="3"/>
  <c r="K832" i="3"/>
  <c r="L832" i="3"/>
  <c r="J834" i="3"/>
  <c r="K834" i="3"/>
  <c r="L834" i="3"/>
  <c r="J837" i="3"/>
  <c r="K837" i="3"/>
  <c r="L837" i="3"/>
  <c r="I837" i="3"/>
  <c r="T837" i="3" s="1"/>
  <c r="I834" i="3"/>
  <c r="T834" i="3" s="1"/>
  <c r="I832" i="3"/>
  <c r="T832" i="3" s="1"/>
  <c r="I830" i="3"/>
  <c r="T830" i="3" s="1"/>
  <c r="I828" i="3"/>
  <c r="T828" i="3" s="1"/>
  <c r="J820" i="3"/>
  <c r="K820" i="3"/>
  <c r="L820" i="3"/>
  <c r="J822" i="3"/>
  <c r="K822" i="3"/>
  <c r="L822" i="3"/>
  <c r="J824" i="3"/>
  <c r="K824" i="3"/>
  <c r="L824" i="3"/>
  <c r="J826" i="3"/>
  <c r="K826" i="3"/>
  <c r="L826" i="3"/>
  <c r="I826" i="3"/>
  <c r="T826" i="3" s="1"/>
  <c r="I824" i="3"/>
  <c r="T824" i="3" s="1"/>
  <c r="I822" i="3"/>
  <c r="T822" i="3" s="1"/>
  <c r="I820" i="3"/>
  <c r="T820" i="3" s="1"/>
  <c r="J817" i="3"/>
  <c r="K817" i="3"/>
  <c r="L817" i="3"/>
  <c r="I817" i="3"/>
  <c r="T817" i="3" s="1"/>
  <c r="J812" i="3"/>
  <c r="K812" i="3"/>
  <c r="L812" i="3"/>
  <c r="J810" i="3"/>
  <c r="K810" i="3"/>
  <c r="L810" i="3"/>
  <c r="J808" i="3"/>
  <c r="K808" i="3"/>
  <c r="L808" i="3"/>
  <c r="J805" i="3"/>
  <c r="K805" i="3"/>
  <c r="L805" i="3"/>
  <c r="J803" i="3"/>
  <c r="K803" i="3"/>
  <c r="L803" i="3"/>
  <c r="I812" i="3"/>
  <c r="T812" i="3" s="1"/>
  <c r="I810" i="3"/>
  <c r="T810" i="3" s="1"/>
  <c r="I808" i="3"/>
  <c r="T808" i="3" s="1"/>
  <c r="I805" i="3"/>
  <c r="T805" i="3" s="1"/>
  <c r="I803" i="3"/>
  <c r="T803" i="3" s="1"/>
  <c r="J794" i="3"/>
  <c r="K794" i="3"/>
  <c r="L794" i="3"/>
  <c r="I794" i="3"/>
  <c r="T794" i="3" s="1"/>
  <c r="J786" i="3"/>
  <c r="K786" i="3"/>
  <c r="L786" i="3"/>
  <c r="J788" i="3"/>
  <c r="K788" i="3"/>
  <c r="L788" i="3"/>
  <c r="J790" i="3"/>
  <c r="K790" i="3"/>
  <c r="L790" i="3"/>
  <c r="J792" i="3"/>
  <c r="K792" i="3"/>
  <c r="L792" i="3"/>
  <c r="I792" i="3"/>
  <c r="T792" i="3" s="1"/>
  <c r="I790" i="3"/>
  <c r="T790" i="3" s="1"/>
  <c r="I788" i="3"/>
  <c r="T788" i="3" s="1"/>
  <c r="I786" i="3"/>
  <c r="T786" i="3" s="1"/>
  <c r="J780" i="3"/>
  <c r="K780" i="3"/>
  <c r="L780" i="3"/>
  <c r="J782" i="3"/>
  <c r="K782" i="3"/>
  <c r="L782" i="3"/>
  <c r="J784" i="3"/>
  <c r="K784" i="3"/>
  <c r="L784" i="3"/>
  <c r="I784" i="3"/>
  <c r="T784" i="3" s="1"/>
  <c r="I782" i="3"/>
  <c r="T782" i="3" s="1"/>
  <c r="I780" i="3"/>
  <c r="T780" i="3" s="1"/>
  <c r="J777" i="3"/>
  <c r="K777" i="3"/>
  <c r="L777" i="3"/>
  <c r="I777" i="3"/>
  <c r="T777" i="3" s="1"/>
  <c r="J770" i="3"/>
  <c r="K770" i="3"/>
  <c r="L770" i="3"/>
  <c r="I770" i="3"/>
  <c r="T770" i="3" s="1"/>
  <c r="J768" i="3"/>
  <c r="K768" i="3"/>
  <c r="L768" i="3"/>
  <c r="J766" i="3"/>
  <c r="K766" i="3"/>
  <c r="L766" i="3"/>
  <c r="I768" i="3"/>
  <c r="T768" i="3" s="1"/>
  <c r="I766" i="3"/>
  <c r="T766" i="3" s="1"/>
  <c r="I888" i="3" l="1"/>
  <c r="T888" i="3" s="1"/>
  <c r="L888" i="3"/>
  <c r="K888" i="3"/>
  <c r="J888" i="3"/>
  <c r="L763" i="3" l="1"/>
  <c r="J763" i="3"/>
  <c r="K763" i="3"/>
  <c r="I763" i="3"/>
  <c r="T763" i="3" s="1"/>
  <c r="J760" i="3"/>
  <c r="K760" i="3"/>
  <c r="L760" i="3"/>
  <c r="I760" i="3"/>
  <c r="T760" i="3" s="1"/>
  <c r="J757" i="3"/>
  <c r="K757" i="3"/>
  <c r="L757" i="3"/>
  <c r="I757" i="3"/>
  <c r="T757" i="3" s="1"/>
  <c r="J752" i="3"/>
  <c r="K752" i="3"/>
  <c r="L752" i="3"/>
  <c r="I752" i="3"/>
  <c r="T752" i="3" s="1"/>
  <c r="J749" i="3"/>
  <c r="K749" i="3"/>
  <c r="L749" i="3"/>
  <c r="I749" i="3"/>
  <c r="T749" i="3" s="1"/>
  <c r="J736" i="3"/>
  <c r="K736" i="3"/>
  <c r="L736" i="3"/>
  <c r="I736" i="3"/>
  <c r="T736" i="3" s="1"/>
  <c r="J732" i="3"/>
  <c r="K732" i="3"/>
  <c r="L732" i="3"/>
  <c r="I732" i="3"/>
  <c r="T732" i="3" s="1"/>
  <c r="T711" i="3"/>
  <c r="T655" i="3"/>
  <c r="J523" i="3"/>
  <c r="K523" i="3"/>
  <c r="L523" i="3"/>
  <c r="J525" i="3"/>
  <c r="K525" i="3"/>
  <c r="L525" i="3"/>
  <c r="I525" i="3"/>
  <c r="T525" i="3" s="1"/>
  <c r="I523" i="3"/>
  <c r="T523" i="3" s="1"/>
  <c r="J519" i="3"/>
  <c r="K519" i="3"/>
  <c r="L519" i="3"/>
  <c r="I519" i="3"/>
  <c r="T519" i="3" s="1"/>
  <c r="J513" i="3"/>
  <c r="K513" i="3"/>
  <c r="L513" i="3"/>
  <c r="I513" i="3"/>
  <c r="T513" i="3" s="1"/>
  <c r="J500" i="3"/>
  <c r="K500" i="3"/>
  <c r="L500" i="3"/>
  <c r="J502" i="3"/>
  <c r="K502" i="3"/>
  <c r="L502" i="3"/>
  <c r="J504" i="3"/>
  <c r="K504" i="3"/>
  <c r="L504" i="3"/>
  <c r="J506" i="3"/>
  <c r="K506" i="3"/>
  <c r="L506" i="3"/>
  <c r="I506" i="3"/>
  <c r="T506" i="3" s="1"/>
  <c r="I504" i="3"/>
  <c r="T504" i="3" s="1"/>
  <c r="I502" i="3"/>
  <c r="T502" i="3" s="1"/>
  <c r="I500" i="3"/>
  <c r="T500" i="3" s="1"/>
  <c r="J483" i="3"/>
  <c r="K483" i="3"/>
  <c r="L483" i="3"/>
  <c r="J485" i="3"/>
  <c r="K485" i="3"/>
  <c r="L485" i="3"/>
  <c r="J487" i="3"/>
  <c r="K487" i="3"/>
  <c r="L487" i="3"/>
  <c r="J489" i="3"/>
  <c r="K489" i="3"/>
  <c r="L489" i="3"/>
  <c r="J491" i="3"/>
  <c r="K491" i="3"/>
  <c r="L491" i="3"/>
  <c r="J493" i="3"/>
  <c r="K493" i="3"/>
  <c r="L493" i="3"/>
  <c r="I493" i="3"/>
  <c r="T493" i="3" s="1"/>
  <c r="I491" i="3"/>
  <c r="T491" i="3" s="1"/>
  <c r="I489" i="3"/>
  <c r="T489" i="3" s="1"/>
  <c r="I487" i="3"/>
  <c r="T487" i="3" s="1"/>
  <c r="I485" i="3"/>
  <c r="T485" i="3" s="1"/>
  <c r="I483" i="3"/>
  <c r="T483" i="3" s="1"/>
  <c r="J477" i="3"/>
  <c r="K477" i="3"/>
  <c r="L477" i="3"/>
  <c r="I477" i="3"/>
  <c r="T477" i="3" s="1"/>
  <c r="J475" i="3"/>
  <c r="L475" i="3"/>
  <c r="I475" i="3"/>
  <c r="T475" i="3" s="1"/>
  <c r="J472" i="3"/>
  <c r="K472" i="3"/>
  <c r="L472" i="3"/>
  <c r="I472" i="3"/>
  <c r="T472" i="3" s="1"/>
  <c r="J463" i="3"/>
  <c r="K463" i="3"/>
  <c r="L463" i="3"/>
  <c r="I463" i="3"/>
  <c r="T463" i="3" s="1"/>
  <c r="J454" i="3"/>
  <c r="K454" i="3"/>
  <c r="L454" i="3"/>
  <c r="I454" i="3"/>
  <c r="T454" i="3" s="1"/>
  <c r="J447" i="3"/>
  <c r="K447" i="3"/>
  <c r="L447" i="3"/>
  <c r="I447" i="3"/>
  <c r="T447" i="3" s="1"/>
  <c r="J445" i="3"/>
  <c r="K445" i="3"/>
  <c r="L445" i="3"/>
  <c r="I445" i="3"/>
  <c r="T445" i="3" s="1"/>
  <c r="J435" i="3"/>
  <c r="K435" i="3"/>
  <c r="L435" i="3"/>
  <c r="J437" i="3"/>
  <c r="K437" i="3"/>
  <c r="L437" i="3"/>
  <c r="J439" i="3"/>
  <c r="K439" i="3"/>
  <c r="L439" i="3"/>
  <c r="J441" i="3"/>
  <c r="K441" i="3"/>
  <c r="L441" i="3"/>
  <c r="J443" i="3"/>
  <c r="K443" i="3"/>
  <c r="L443" i="3"/>
  <c r="I443" i="3"/>
  <c r="T443" i="3" s="1"/>
  <c r="I441" i="3"/>
  <c r="T441" i="3" s="1"/>
  <c r="I439" i="3"/>
  <c r="T439" i="3" s="1"/>
  <c r="I437" i="3"/>
  <c r="T437" i="3" s="1"/>
  <c r="I435" i="3"/>
  <c r="T435" i="3" s="1"/>
  <c r="J425" i="3"/>
  <c r="K425" i="3"/>
  <c r="L425" i="3"/>
  <c r="I425" i="3"/>
  <c r="T425" i="3" s="1"/>
  <c r="J423" i="3"/>
  <c r="K423" i="3"/>
  <c r="L423" i="3"/>
  <c r="I423" i="3"/>
  <c r="T423" i="3" s="1"/>
  <c r="J417" i="3"/>
  <c r="K417" i="3"/>
  <c r="L417" i="3"/>
  <c r="I417" i="3"/>
  <c r="T417" i="3" s="1"/>
  <c r="J408" i="3"/>
  <c r="K408" i="3"/>
  <c r="L408" i="3"/>
  <c r="I408" i="3"/>
  <c r="T408" i="3" s="1"/>
  <c r="J405" i="3"/>
  <c r="K405" i="3"/>
  <c r="L405" i="3"/>
  <c r="I405" i="3"/>
  <c r="T405" i="3" s="1"/>
  <c r="J403" i="3"/>
  <c r="K403" i="3"/>
  <c r="L403" i="3"/>
  <c r="I403" i="3"/>
  <c r="T403" i="3" s="1"/>
  <c r="J397" i="3"/>
  <c r="K397" i="3"/>
  <c r="L397" i="3"/>
  <c r="I397" i="3"/>
  <c r="T397" i="3" s="1"/>
  <c r="J393" i="3"/>
  <c r="K393" i="3"/>
  <c r="L393" i="3"/>
  <c r="J395" i="3"/>
  <c r="K395" i="3"/>
  <c r="L395" i="3"/>
  <c r="I395" i="3"/>
  <c r="T395" i="3" s="1"/>
  <c r="I393" i="3"/>
  <c r="T393" i="3" s="1"/>
  <c r="J385" i="3"/>
  <c r="K385" i="3"/>
  <c r="L385" i="3"/>
  <c r="I385" i="3"/>
  <c r="T385" i="3" s="1"/>
  <c r="J383" i="3"/>
  <c r="K383" i="3"/>
  <c r="L383" i="3"/>
  <c r="I383" i="3"/>
  <c r="T383" i="3" s="1"/>
  <c r="J379" i="3"/>
  <c r="K379" i="3"/>
  <c r="L379" i="3"/>
  <c r="I379" i="3"/>
  <c r="T379" i="3" s="1"/>
  <c r="J377" i="3"/>
  <c r="K377" i="3"/>
  <c r="L377" i="3"/>
  <c r="I377" i="3"/>
  <c r="T377" i="3" s="1"/>
  <c r="J374" i="3"/>
  <c r="K374" i="3"/>
  <c r="L374" i="3"/>
  <c r="I374" i="3"/>
  <c r="T374" i="3" s="1"/>
  <c r="J370" i="3"/>
  <c r="K370" i="3"/>
  <c r="L370" i="3"/>
  <c r="I370" i="3"/>
  <c r="T370" i="3" s="1"/>
  <c r="J368" i="3"/>
  <c r="K368" i="3"/>
  <c r="L368" i="3"/>
  <c r="I368" i="3"/>
  <c r="T368" i="3" s="1"/>
  <c r="J366" i="3"/>
  <c r="K366" i="3"/>
  <c r="L366" i="3"/>
  <c r="I366" i="3"/>
  <c r="T366" i="3" s="1"/>
  <c r="J363" i="3"/>
  <c r="K363" i="3"/>
  <c r="L363" i="3"/>
  <c r="I363" i="3"/>
  <c r="T363" i="3" s="1"/>
  <c r="J348" i="3"/>
  <c r="K348" i="3"/>
  <c r="L348" i="3"/>
  <c r="I348" i="3"/>
  <c r="T348" i="3" s="1"/>
  <c r="J346" i="3"/>
  <c r="K346" i="3"/>
  <c r="L346" i="3"/>
  <c r="I346" i="3"/>
  <c r="T346" i="3" s="1"/>
  <c r="J343" i="3"/>
  <c r="K343" i="3"/>
  <c r="L343" i="3"/>
  <c r="I343" i="3"/>
  <c r="T343" i="3" s="1"/>
  <c r="J340" i="3"/>
  <c r="K340" i="3"/>
  <c r="L340" i="3"/>
  <c r="I340" i="3"/>
  <c r="T340" i="3" s="1"/>
  <c r="J337" i="3"/>
  <c r="K337" i="3"/>
  <c r="L337" i="3"/>
  <c r="I337" i="3"/>
  <c r="T337" i="3" s="1"/>
  <c r="J333" i="3"/>
  <c r="K333" i="3"/>
  <c r="L333" i="3"/>
  <c r="I333" i="3"/>
  <c r="T333" i="3" s="1"/>
  <c r="J328" i="3"/>
  <c r="K328" i="3"/>
  <c r="L328" i="3"/>
  <c r="I328" i="3"/>
  <c r="T328" i="3" s="1"/>
  <c r="J315" i="3"/>
  <c r="K315" i="3"/>
  <c r="L315" i="3"/>
  <c r="I315" i="3"/>
  <c r="T315" i="3" s="1"/>
  <c r="J299" i="3"/>
  <c r="K299" i="3"/>
  <c r="L299" i="3"/>
  <c r="I299" i="3"/>
  <c r="T299" i="3" s="1"/>
  <c r="J297" i="3"/>
  <c r="K297" i="3"/>
  <c r="L297" i="3"/>
  <c r="I297" i="3"/>
  <c r="T297" i="3" s="1"/>
  <c r="J291" i="3"/>
  <c r="K291" i="3"/>
  <c r="L291" i="3"/>
  <c r="I291" i="3"/>
  <c r="T291" i="3" s="1"/>
  <c r="J285" i="3"/>
  <c r="K285" i="3"/>
  <c r="L285" i="3"/>
  <c r="I285" i="3"/>
  <c r="T285" i="3" s="1"/>
  <c r="J282" i="3"/>
  <c r="K282" i="3"/>
  <c r="L282" i="3"/>
  <c r="I282" i="3"/>
  <c r="T282" i="3" s="1"/>
  <c r="J280" i="3"/>
  <c r="K280" i="3"/>
  <c r="L280" i="3"/>
  <c r="I280" i="3"/>
  <c r="T280" i="3" s="1"/>
  <c r="J275" i="3"/>
  <c r="K275" i="3"/>
  <c r="L275" i="3"/>
  <c r="I275" i="3"/>
  <c r="T275" i="3" s="1"/>
  <c r="J268" i="3"/>
  <c r="K268" i="3"/>
  <c r="L268" i="3"/>
  <c r="I268" i="3"/>
  <c r="T268" i="3" s="1"/>
  <c r="J260" i="3"/>
  <c r="K260" i="3"/>
  <c r="L260" i="3"/>
  <c r="I260" i="3"/>
  <c r="T260" i="3" s="1"/>
  <c r="T230" i="3"/>
  <c r="J224" i="3"/>
  <c r="K224" i="3"/>
  <c r="L224" i="3"/>
  <c r="I224" i="3"/>
  <c r="T224" i="3" s="1"/>
  <c r="T193" i="3"/>
  <c r="J155" i="3"/>
  <c r="K155" i="3"/>
  <c r="L155" i="3"/>
  <c r="I155" i="3"/>
  <c r="J120" i="3"/>
  <c r="K120" i="3"/>
  <c r="L120" i="3"/>
  <c r="I120" i="3"/>
  <c r="T120" i="3" s="1"/>
  <c r="I527" i="3" l="1"/>
  <c r="T527" i="3" s="1"/>
  <c r="T528" i="3"/>
  <c r="L527" i="3"/>
  <c r="J527" i="3"/>
  <c r="K527" i="3"/>
  <c r="L14" i="3"/>
  <c r="J14" i="3"/>
  <c r="I14" i="3"/>
  <c r="I13" i="3" l="1"/>
  <c r="T13" i="3" s="1"/>
  <c r="L13" i="3"/>
  <c r="J13" i="3"/>
  <c r="K476" i="3"/>
  <c r="K475" i="3" s="1"/>
  <c r="K14" i="3" s="1"/>
  <c r="K13" i="3" s="1"/>
  <c r="N264" i="7"/>
  <c r="AC264" i="7" s="1"/>
  <c r="D264" i="7" s="1"/>
  <c r="T14" i="3"/>
  <c r="T15" i="3"/>
  <c r="B16" i="3"/>
  <c r="B890" i="3" l="1"/>
  <c r="B529" i="3"/>
  <c r="AD450" i="7"/>
  <c r="AD449" i="7" s="1"/>
  <c r="AC263" i="7"/>
  <c r="AC459" i="7"/>
  <c r="D459" i="7" s="1"/>
  <c r="D263" i="7" l="1"/>
  <c r="D193" i="7" l="1"/>
  <c r="D195" i="7"/>
  <c r="D196" i="7"/>
  <c r="D197" i="7"/>
  <c r="D198" i="7"/>
  <c r="D194" i="7"/>
  <c r="N448" i="7" l="1"/>
  <c r="G54" i="8"/>
  <c r="H54" i="8"/>
  <c r="I54" i="8"/>
  <c r="J54" i="8"/>
  <c r="K54" i="8"/>
  <c r="L54" i="8"/>
  <c r="M54" i="8"/>
  <c r="N54" i="8"/>
  <c r="O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AD54" i="8"/>
  <c r="AF54" i="8"/>
  <c r="AG54" i="8"/>
  <c r="AE57" i="8"/>
  <c r="F57" i="8" s="1"/>
  <c r="AC448" i="7" l="1"/>
  <c r="D448" i="7" s="1"/>
  <c r="D447" i="7" s="1"/>
  <c r="N447" i="7"/>
  <c r="B57" i="8"/>
  <c r="AE61" i="8"/>
  <c r="AE63" i="8"/>
  <c r="AE62" i="8" l="1"/>
  <c r="F63" i="8"/>
  <c r="AC447" i="7"/>
  <c r="F62" i="8"/>
  <c r="E62" i="8"/>
  <c r="B63" i="8"/>
  <c r="B61" i="8"/>
  <c r="B59" i="8"/>
  <c r="B56" i="8"/>
  <c r="B55" i="8"/>
  <c r="B53" i="8"/>
  <c r="B51" i="8"/>
  <c r="B49" i="8"/>
  <c r="B47" i="8"/>
  <c r="B46" i="8"/>
  <c r="B45" i="8"/>
  <c r="B43" i="8"/>
  <c r="B41" i="8"/>
  <c r="B39" i="8"/>
  <c r="B38" i="8"/>
  <c r="B37" i="8"/>
  <c r="B35" i="8"/>
  <c r="B34" i="8"/>
  <c r="B32" i="8"/>
  <c r="B31" i="8"/>
  <c r="B29" i="8"/>
  <c r="B27" i="8"/>
  <c r="B25" i="8"/>
  <c r="B21" i="8"/>
  <c r="B20" i="8"/>
  <c r="B19" i="8"/>
  <c r="B18" i="8"/>
  <c r="B17" i="8"/>
  <c r="B16" i="8"/>
  <c r="B15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F61" i="8"/>
  <c r="F60" i="8" s="1"/>
  <c r="E60" i="8"/>
  <c r="AE59" i="8"/>
  <c r="F59" i="8" s="1"/>
  <c r="P528" i="7" l="1"/>
  <c r="R527" i="7"/>
  <c r="N159" i="7"/>
  <c r="N126" i="7" s="1"/>
  <c r="AC160" i="7"/>
  <c r="D160" i="7" s="1"/>
  <c r="AC158" i="7"/>
  <c r="D158" i="7" s="1"/>
  <c r="AC527" i="7" l="1"/>
  <c r="D527" i="7" s="1"/>
  <c r="R525" i="7"/>
  <c r="AC528" i="7"/>
  <c r="D528" i="7" s="1"/>
  <c r="P525" i="7"/>
  <c r="AC159" i="7"/>
  <c r="D159" i="7" s="1"/>
  <c r="H351" i="7"/>
  <c r="H349" i="7" s="1"/>
  <c r="N468" i="7"/>
  <c r="AC468" i="7" s="1"/>
  <c r="D468" i="7" s="1"/>
  <c r="N467" i="7"/>
  <c r="G477" i="7"/>
  <c r="N410" i="7"/>
  <c r="AC467" i="7" l="1"/>
  <c r="D467" i="7" s="1"/>
  <c r="N460" i="7"/>
  <c r="AC477" i="7"/>
  <c r="D477" i="7" s="1"/>
  <c r="G469" i="7"/>
  <c r="N442" i="7" l="1"/>
  <c r="N441" i="7" s="1"/>
  <c r="N1159" i="7"/>
  <c r="N430" i="7"/>
  <c r="N429" i="7" s="1"/>
  <c r="N347" i="7"/>
  <c r="N346" i="7" s="1"/>
  <c r="N350" i="7"/>
  <c r="N349" i="7" s="1"/>
  <c r="N412" i="7" l="1"/>
  <c r="N411" i="7" s="1"/>
  <c r="N268" i="7"/>
  <c r="N267" i="7"/>
  <c r="N375" i="7"/>
  <c r="N374" i="7" s="1"/>
  <c r="N344" i="7"/>
  <c r="U379" i="7"/>
  <c r="U376" i="7" s="1"/>
  <c r="N289" i="7"/>
  <c r="N288" i="7" s="1"/>
  <c r="N298" i="7"/>
  <c r="N297" i="7" s="1"/>
  <c r="N304" i="7"/>
  <c r="N303" i="7" s="1"/>
  <c r="AC787" i="7"/>
  <c r="D787" i="7" s="1"/>
  <c r="D786" i="7" s="1"/>
  <c r="E786" i="7"/>
  <c r="F786" i="7"/>
  <c r="G786" i="7"/>
  <c r="H786" i="7"/>
  <c r="I786" i="7"/>
  <c r="J786" i="7"/>
  <c r="K786" i="7"/>
  <c r="L786" i="7"/>
  <c r="M786" i="7"/>
  <c r="N786" i="7"/>
  <c r="O786" i="7"/>
  <c r="P786" i="7"/>
  <c r="Q786" i="7"/>
  <c r="R786" i="7"/>
  <c r="S786" i="7"/>
  <c r="T786" i="7"/>
  <c r="U786" i="7"/>
  <c r="V786" i="7"/>
  <c r="W786" i="7"/>
  <c r="X786" i="7"/>
  <c r="Y786" i="7"/>
  <c r="Z786" i="7"/>
  <c r="AA786" i="7"/>
  <c r="AB786" i="7"/>
  <c r="AD786" i="7"/>
  <c r="AE786" i="7"/>
  <c r="N266" i="7" l="1"/>
  <c r="AC786" i="7"/>
  <c r="N345" i="7" l="1"/>
  <c r="N343" i="7" s="1"/>
  <c r="AD400" i="7"/>
  <c r="AD399" i="7" s="1"/>
  <c r="N511" i="7"/>
  <c r="AC293" i="7"/>
  <c r="AC296" i="7"/>
  <c r="AC295" i="7"/>
  <c r="AC294" i="7"/>
  <c r="AC371" i="7"/>
  <c r="D192" i="7" l="1"/>
  <c r="N523" i="7" l="1"/>
  <c r="N519" i="7" s="1"/>
  <c r="AC524" i="7" l="1"/>
  <c r="G498" i="7" l="1"/>
  <c r="N859" i="7"/>
  <c r="V287" i="7"/>
  <c r="N480" i="7"/>
  <c r="N384" i="7"/>
  <c r="N383" i="7" s="1"/>
  <c r="AC388" i="7"/>
  <c r="AC387" i="7"/>
  <c r="AC390" i="7"/>
  <c r="AC389" i="7" s="1"/>
  <c r="N231" i="7"/>
  <c r="N230" i="7" s="1"/>
  <c r="G514" i="7"/>
  <c r="G512" i="7" s="1"/>
  <c r="N503" i="7"/>
  <c r="G283" i="7"/>
  <c r="G281" i="7" s="1"/>
  <c r="N1138" i="7"/>
  <c r="AC476" i="7"/>
  <c r="D476" i="7" s="1"/>
  <c r="G421" i="7"/>
  <c r="AC422" i="7"/>
  <c r="AC287" i="7" l="1"/>
  <c r="AC286" i="7" s="1"/>
  <c r="V286" i="7"/>
  <c r="AC421" i="7"/>
  <c r="G414" i="7"/>
  <c r="AC420" i="7"/>
  <c r="AC419" i="7"/>
  <c r="AC418" i="7"/>
  <c r="N439" i="7"/>
  <c r="N408" i="7"/>
  <c r="N431" i="7" l="1"/>
  <c r="N424" i="7"/>
  <c r="N426" i="7"/>
  <c r="N425" i="7"/>
  <c r="AC223" i="7"/>
  <c r="D223" i="7" s="1"/>
  <c r="G359" i="7"/>
  <c r="G354" i="7" s="1"/>
  <c r="R279" i="7"/>
  <c r="R274" i="7" s="1"/>
  <c r="G348" i="7"/>
  <c r="G346" i="7" s="1"/>
  <c r="R314" i="7"/>
  <c r="R305" i="7" s="1"/>
  <c r="AC498" i="7"/>
  <c r="AC857" i="7"/>
  <c r="N423" i="7" l="1"/>
  <c r="N532" i="7"/>
  <c r="N396" i="7"/>
  <c r="N391" i="7" s="1"/>
  <c r="AC482" i="7"/>
  <c r="D482" i="7" s="1"/>
  <c r="E481" i="7" l="1"/>
  <c r="F481" i="7"/>
  <c r="G481" i="7"/>
  <c r="H481" i="7"/>
  <c r="I481" i="7"/>
  <c r="J481" i="7"/>
  <c r="K481" i="7"/>
  <c r="L481" i="7"/>
  <c r="M481" i="7"/>
  <c r="N481" i="7"/>
  <c r="O481" i="7"/>
  <c r="P481" i="7"/>
  <c r="Q481" i="7"/>
  <c r="R481" i="7"/>
  <c r="S481" i="7"/>
  <c r="T481" i="7"/>
  <c r="U481" i="7"/>
  <c r="V481" i="7"/>
  <c r="W481" i="7"/>
  <c r="X481" i="7"/>
  <c r="Y481" i="7"/>
  <c r="Z481" i="7"/>
  <c r="AA481" i="7"/>
  <c r="AB481" i="7"/>
  <c r="AC481" i="7"/>
  <c r="AD481" i="7"/>
  <c r="AE481" i="7"/>
  <c r="D481" i="7"/>
  <c r="D1136" i="7" l="1"/>
  <c r="D1049" i="7"/>
  <c r="D1001" i="7"/>
  <c r="D996" i="7"/>
  <c r="D992" i="7"/>
  <c r="D983" i="7"/>
  <c r="D953" i="7"/>
  <c r="D952" i="7"/>
  <c r="D945" i="7"/>
  <c r="D920" i="7"/>
  <c r="D752" i="7"/>
  <c r="D739" i="7"/>
  <c r="D726" i="7"/>
  <c r="D725" i="7"/>
  <c r="D723" i="7"/>
  <c r="D720" i="7"/>
  <c r="D719" i="7"/>
  <c r="D663" i="7"/>
  <c r="D568" i="7"/>
  <c r="D557" i="7"/>
  <c r="D540" i="7"/>
  <c r="D539" i="7"/>
  <c r="D317" i="7"/>
  <c r="D311" i="7"/>
  <c r="D310" i="7"/>
  <c r="D309" i="7"/>
  <c r="D308" i="7"/>
  <c r="D287" i="7"/>
  <c r="D286" i="7" s="1"/>
  <c r="D244" i="7"/>
  <c r="D240" i="7"/>
  <c r="D237" i="7"/>
  <c r="D235" i="7"/>
  <c r="D222" i="7"/>
  <c r="D219" i="7"/>
  <c r="D206" i="7"/>
  <c r="D205" i="7"/>
  <c r="D204" i="7"/>
  <c r="D203" i="7"/>
  <c r="D191" i="7"/>
  <c r="D190" i="7"/>
  <c r="D189" i="7"/>
  <c r="D184" i="7"/>
  <c r="D181" i="7"/>
  <c r="D169" i="7"/>
  <c r="D167" i="7"/>
  <c r="D152" i="7"/>
  <c r="D104" i="7"/>
  <c r="D103" i="7"/>
  <c r="D83" i="7"/>
  <c r="D82" i="7"/>
  <c r="D81" i="7"/>
  <c r="D59" i="7"/>
  <c r="D54" i="7"/>
  <c r="D53" i="7"/>
  <c r="D52" i="7"/>
  <c r="D51" i="7"/>
  <c r="D38" i="7"/>
  <c r="D24" i="7"/>
  <c r="E531" i="7" l="1"/>
  <c r="F531" i="7"/>
  <c r="G531" i="7"/>
  <c r="H531" i="7"/>
  <c r="I531" i="7"/>
  <c r="J531" i="7"/>
  <c r="K531" i="7"/>
  <c r="L531" i="7"/>
  <c r="M531" i="7"/>
  <c r="N531" i="7"/>
  <c r="O531" i="7"/>
  <c r="P531" i="7"/>
  <c r="Q531" i="7"/>
  <c r="R531" i="7"/>
  <c r="S531" i="7"/>
  <c r="T531" i="7"/>
  <c r="U531" i="7"/>
  <c r="V531" i="7"/>
  <c r="W531" i="7"/>
  <c r="X531" i="7"/>
  <c r="Y531" i="7"/>
  <c r="Z531" i="7"/>
  <c r="AA531" i="7"/>
  <c r="AB531" i="7"/>
  <c r="AD531" i="7"/>
  <c r="AE531" i="7"/>
  <c r="E497" i="7"/>
  <c r="F497" i="7"/>
  <c r="G497" i="7"/>
  <c r="H497" i="7"/>
  <c r="I497" i="7"/>
  <c r="J497" i="7"/>
  <c r="K497" i="7"/>
  <c r="L497" i="7"/>
  <c r="M497" i="7"/>
  <c r="N497" i="7"/>
  <c r="O497" i="7"/>
  <c r="P497" i="7"/>
  <c r="Q497" i="7"/>
  <c r="R497" i="7"/>
  <c r="S497" i="7"/>
  <c r="T497" i="7"/>
  <c r="U497" i="7"/>
  <c r="V497" i="7"/>
  <c r="W497" i="7"/>
  <c r="X497" i="7"/>
  <c r="Y497" i="7"/>
  <c r="Z497" i="7"/>
  <c r="AA497" i="7"/>
  <c r="AB497" i="7"/>
  <c r="AD497" i="7"/>
  <c r="AE497" i="7"/>
  <c r="E478" i="7"/>
  <c r="F478" i="7"/>
  <c r="G478" i="7"/>
  <c r="H478" i="7"/>
  <c r="I478" i="7"/>
  <c r="J478" i="7"/>
  <c r="K478" i="7"/>
  <c r="L478" i="7"/>
  <c r="M478" i="7"/>
  <c r="N478" i="7"/>
  <c r="O478" i="7"/>
  <c r="P478" i="7"/>
  <c r="Q478" i="7"/>
  <c r="R478" i="7"/>
  <c r="S478" i="7"/>
  <c r="T478" i="7"/>
  <c r="U478" i="7"/>
  <c r="V478" i="7"/>
  <c r="W478" i="7"/>
  <c r="X478" i="7"/>
  <c r="Y478" i="7"/>
  <c r="Z478" i="7"/>
  <c r="AA478" i="7"/>
  <c r="AB478" i="7"/>
  <c r="AD478" i="7"/>
  <c r="AE478" i="7"/>
  <c r="E409" i="7"/>
  <c r="F409" i="7"/>
  <c r="G409" i="7"/>
  <c r="H409" i="7"/>
  <c r="I409" i="7"/>
  <c r="J409" i="7"/>
  <c r="K409" i="7"/>
  <c r="L409" i="7"/>
  <c r="M409" i="7"/>
  <c r="O409" i="7"/>
  <c r="P409" i="7"/>
  <c r="Q409" i="7"/>
  <c r="R409" i="7"/>
  <c r="S409" i="7"/>
  <c r="T409" i="7"/>
  <c r="U409" i="7"/>
  <c r="V409" i="7"/>
  <c r="W409" i="7"/>
  <c r="X409" i="7"/>
  <c r="Y409" i="7"/>
  <c r="Z409" i="7"/>
  <c r="AA409" i="7"/>
  <c r="AB409" i="7"/>
  <c r="AD409" i="7"/>
  <c r="AE409" i="7"/>
  <c r="AC379" i="7" l="1"/>
  <c r="D379" i="7" s="1"/>
  <c r="AC522" i="7" l="1"/>
  <c r="D522" i="7" s="1"/>
  <c r="AC454" i="7"/>
  <c r="AC407" i="7"/>
  <c r="D407" i="7" s="1"/>
  <c r="AC238" i="7"/>
  <c r="AC91" i="7"/>
  <c r="D91" i="7" s="1"/>
  <c r="AC1110" i="7"/>
  <c r="D1110" i="7" s="1"/>
  <c r="AC1017" i="7"/>
  <c r="D1017" i="7" s="1"/>
  <c r="AC967" i="7"/>
  <c r="D967" i="7" s="1"/>
  <c r="AC337" i="7"/>
  <c r="D337" i="7" s="1"/>
  <c r="AC332" i="7"/>
  <c r="D332" i="7" s="1"/>
  <c r="AC257" i="7"/>
  <c r="D257" i="7" s="1"/>
  <c r="D182" i="7"/>
  <c r="AC1153" i="7"/>
  <c r="D1153" i="7" s="1"/>
  <c r="AC1152" i="7"/>
  <c r="D1152" i="7" s="1"/>
  <c r="AC1126" i="7"/>
  <c r="D1126" i="7" s="1"/>
  <c r="AC1081" i="7"/>
  <c r="D1081" i="7" s="1"/>
  <c r="AC1079" i="7"/>
  <c r="D1079" i="7" s="1"/>
  <c r="AC1056" i="7"/>
  <c r="D1056" i="7" s="1"/>
  <c r="AC1041" i="7"/>
  <c r="D1041" i="7" s="1"/>
  <c r="AC1034" i="7"/>
  <c r="D1034" i="7" s="1"/>
  <c r="AC1015" i="7"/>
  <c r="D1015" i="7" s="1"/>
  <c r="AC1011" i="7"/>
  <c r="D1011" i="7" s="1"/>
  <c r="AC973" i="7"/>
  <c r="D973" i="7" s="1"/>
  <c r="D931" i="7"/>
  <c r="AC928" i="7"/>
  <c r="D928" i="7" s="1"/>
  <c r="AC884" i="7"/>
  <c r="D884" i="7" s="1"/>
  <c r="AC813" i="7"/>
  <c r="D813" i="7" s="1"/>
  <c r="AC812" i="7"/>
  <c r="D812" i="7" s="1"/>
  <c r="AC338" i="7"/>
  <c r="D338" i="7" s="1"/>
  <c r="AC777" i="7"/>
  <c r="D777" i="7" s="1"/>
  <c r="AC741" i="7"/>
  <c r="D741" i="7" s="1"/>
  <c r="AC687" i="7"/>
  <c r="D687" i="7" s="1"/>
  <c r="AC656" i="7"/>
  <c r="D656" i="7" s="1"/>
  <c r="AC651" i="7"/>
  <c r="D651" i="7" s="1"/>
  <c r="D578" i="7"/>
  <c r="AC577" i="7"/>
  <c r="D577" i="7" s="1"/>
  <c r="D572" i="7"/>
  <c r="AC565" i="7"/>
  <c r="D565" i="7" s="1"/>
  <c r="AC560" i="7"/>
  <c r="D560" i="7" s="1"/>
  <c r="AC487" i="7"/>
  <c r="D487" i="7" s="1"/>
  <c r="AC486" i="7"/>
  <c r="D486" i="7" s="1"/>
  <c r="AC438" i="7"/>
  <c r="D438" i="7" s="1"/>
  <c r="D422" i="7"/>
  <c r="D387" i="7"/>
  <c r="AC386" i="7"/>
  <c r="AC362" i="7"/>
  <c r="D362" i="7" s="1"/>
  <c r="AC342" i="7"/>
  <c r="D342" i="7" s="1"/>
  <c r="AC341" i="7"/>
  <c r="D341" i="7" s="1"/>
  <c r="AC340" i="7"/>
  <c r="AC331" i="7"/>
  <c r="D331" i="7" s="1"/>
  <c r="AC330" i="7"/>
  <c r="D330" i="7" s="1"/>
  <c r="AC328" i="7"/>
  <c r="D328" i="7" s="1"/>
  <c r="AC319" i="7"/>
  <c r="D319" i="7" s="1"/>
  <c r="AC318" i="7"/>
  <c r="D318" i="7" s="1"/>
  <c r="AC314" i="7"/>
  <c r="D314" i="7" s="1"/>
  <c r="D294" i="7"/>
  <c r="D293" i="7"/>
  <c r="AC292" i="7"/>
  <c r="AC279" i="7"/>
  <c r="AC254" i="7"/>
  <c r="D254" i="7" s="1"/>
  <c r="AC252" i="7"/>
  <c r="D252" i="7" s="1"/>
  <c r="AC249" i="7"/>
  <c r="D249" i="7" s="1"/>
  <c r="AC239" i="7"/>
  <c r="D239" i="7" s="1"/>
  <c r="AC233" i="7"/>
  <c r="D233" i="7" s="1"/>
  <c r="AC232" i="7"/>
  <c r="D232" i="7" s="1"/>
  <c r="AC221" i="7"/>
  <c r="D221" i="7" s="1"/>
  <c r="AC220" i="7"/>
  <c r="D220" i="7" s="1"/>
  <c r="AC218" i="7"/>
  <c r="D218" i="7" s="1"/>
  <c r="AC216" i="7"/>
  <c r="D216" i="7" s="1"/>
  <c r="AC212" i="7"/>
  <c r="D212" i="7" s="1"/>
  <c r="AC200" i="7"/>
  <c r="D180" i="7"/>
  <c r="AC151" i="7"/>
  <c r="D151" i="7" s="1"/>
  <c r="AC150" i="7"/>
  <c r="D150" i="7" s="1"/>
  <c r="AC149" i="7"/>
  <c r="D149" i="7" s="1"/>
  <c r="AC147" i="7"/>
  <c r="D147" i="7" s="1"/>
  <c r="AC146" i="7"/>
  <c r="D146" i="7" s="1"/>
  <c r="AC144" i="7"/>
  <c r="D144" i="7" s="1"/>
  <c r="AC143" i="7"/>
  <c r="D143" i="7" s="1"/>
  <c r="AC142" i="7"/>
  <c r="D142" i="7" s="1"/>
  <c r="AC139" i="7"/>
  <c r="D139" i="7" s="1"/>
  <c r="AC125" i="7"/>
  <c r="D125" i="7" s="1"/>
  <c r="AC124" i="7"/>
  <c r="D124" i="7" s="1"/>
  <c r="AC119" i="7"/>
  <c r="D119" i="7" s="1"/>
  <c r="AC117" i="7"/>
  <c r="D117" i="7" s="1"/>
  <c r="AC116" i="7"/>
  <c r="D116" i="7" s="1"/>
  <c r="AC115" i="7"/>
  <c r="D115" i="7" s="1"/>
  <c r="AC114" i="7"/>
  <c r="D114" i="7" s="1"/>
  <c r="AC112" i="7"/>
  <c r="D112" i="7" s="1"/>
  <c r="AC110" i="7"/>
  <c r="D110" i="7" s="1"/>
  <c r="AC98" i="7"/>
  <c r="D98" i="7" s="1"/>
  <c r="AC96" i="7"/>
  <c r="D96" i="7" s="1"/>
  <c r="AC95" i="7"/>
  <c r="D95" i="7" s="1"/>
  <c r="AC90" i="7"/>
  <c r="D90" i="7" s="1"/>
  <c r="AC86" i="7"/>
  <c r="D86" i="7" s="1"/>
  <c r="AC85" i="7"/>
  <c r="D85" i="7" s="1"/>
  <c r="AC58" i="7"/>
  <c r="D58" i="7" s="1"/>
  <c r="AC57" i="7"/>
  <c r="D57" i="7" s="1"/>
  <c r="AC43" i="7"/>
  <c r="D43" i="7" s="1"/>
  <c r="AC35" i="7"/>
  <c r="D35" i="7" s="1"/>
  <c r="AC27" i="7"/>
  <c r="D27" i="7" s="1"/>
  <c r="AC1027" i="7"/>
  <c r="D1027" i="7" s="1"/>
  <c r="D292" i="7" l="1"/>
  <c r="AC291" i="7"/>
  <c r="D340" i="7"/>
  <c r="AC339" i="7"/>
  <c r="D386" i="7"/>
  <c r="AC385" i="7"/>
  <c r="D454" i="7"/>
  <c r="D200" i="7"/>
  <c r="D238" i="7"/>
  <c r="D279" i="7"/>
  <c r="D390" i="7"/>
  <c r="D389" i="7" s="1"/>
  <c r="CD389" i="7" s="1"/>
  <c r="AC1137" i="7"/>
  <c r="D1137" i="7" s="1"/>
  <c r="D296" i="7"/>
  <c r="D183" i="7"/>
  <c r="AC120" i="7"/>
  <c r="D120" i="7" s="1"/>
  <c r="AC1165" i="7"/>
  <c r="D1165" i="7" s="1"/>
  <c r="AC105" i="7"/>
  <c r="D105" i="7" s="1"/>
  <c r="AC275" i="7"/>
  <c r="AC353" i="7"/>
  <c r="AC352" i="7" s="1"/>
  <c r="AC373" i="7"/>
  <c r="AC372" i="7" s="1"/>
  <c r="AC1157" i="7"/>
  <c r="D1157" i="7" s="1"/>
  <c r="AC1163" i="7"/>
  <c r="D1163" i="7" s="1"/>
  <c r="AC1162" i="7"/>
  <c r="D1162" i="7" s="1"/>
  <c r="AC1161" i="7"/>
  <c r="D1161" i="7" s="1"/>
  <c r="AC1159" i="7"/>
  <c r="D1159" i="7" s="1"/>
  <c r="AC1155" i="7"/>
  <c r="D1155" i="7" s="1"/>
  <c r="AC1151" i="7"/>
  <c r="D1151" i="7" s="1"/>
  <c r="AC1149" i="7"/>
  <c r="D1149" i="7" s="1"/>
  <c r="AC1148" i="7"/>
  <c r="D1148" i="7" s="1"/>
  <c r="AC1146" i="7"/>
  <c r="D1146" i="7" s="1"/>
  <c r="AC1144" i="7"/>
  <c r="D1144" i="7" s="1"/>
  <c r="AC1142" i="7"/>
  <c r="D1142" i="7" s="1"/>
  <c r="AC1141" i="7"/>
  <c r="D1141" i="7" s="1"/>
  <c r="AC1139" i="7"/>
  <c r="D1139" i="7" s="1"/>
  <c r="AC1138" i="7"/>
  <c r="D1138" i="7" s="1"/>
  <c r="AC1134" i="7"/>
  <c r="D1134" i="7" s="1"/>
  <c r="AC1133" i="7"/>
  <c r="D1133" i="7" s="1"/>
  <c r="AC1132" i="7"/>
  <c r="D1132" i="7" s="1"/>
  <c r="AC1130" i="7"/>
  <c r="D1130" i="7" s="1"/>
  <c r="AC1129" i="7"/>
  <c r="D1129" i="7" s="1"/>
  <c r="AC1127" i="7"/>
  <c r="D1127" i="7" s="1"/>
  <c r="AC1124" i="7"/>
  <c r="D1124" i="7" s="1"/>
  <c r="AC1122" i="7"/>
  <c r="D1122" i="7" s="1"/>
  <c r="AC1120" i="7"/>
  <c r="D1120" i="7" s="1"/>
  <c r="AC1118" i="7"/>
  <c r="D1118" i="7" s="1"/>
  <c r="AC1117" i="7"/>
  <c r="D1117" i="7" s="1"/>
  <c r="AC1116" i="7"/>
  <c r="D1116" i="7" s="1"/>
  <c r="AC1114" i="7"/>
  <c r="D1114" i="7" s="1"/>
  <c r="AC1112" i="7"/>
  <c r="D1112" i="7" s="1"/>
  <c r="AC1107" i="7"/>
  <c r="D1107" i="7" s="1"/>
  <c r="AC1106" i="7"/>
  <c r="D1106" i="7" s="1"/>
  <c r="AC1104" i="7"/>
  <c r="D1104" i="7" s="1"/>
  <c r="AC1102" i="7"/>
  <c r="D1102" i="7" s="1"/>
  <c r="AC1100" i="7"/>
  <c r="D1100" i="7" s="1"/>
  <c r="AC1098" i="7"/>
  <c r="D1098" i="7" s="1"/>
  <c r="AC1096" i="7"/>
  <c r="D1096" i="7" s="1"/>
  <c r="AC1094" i="7"/>
  <c r="D1094" i="7" s="1"/>
  <c r="AC1092" i="7"/>
  <c r="D1092" i="7" s="1"/>
  <c r="AC1091" i="7"/>
  <c r="D1091" i="7" s="1"/>
  <c r="AC1090" i="7"/>
  <c r="D1090" i="7" s="1"/>
  <c r="AC1088" i="7"/>
  <c r="D1088" i="7" s="1"/>
  <c r="AC1086" i="7"/>
  <c r="D1086" i="7" s="1"/>
  <c r="AC1085" i="7"/>
  <c r="D1085" i="7" s="1"/>
  <c r="AC1083" i="7"/>
  <c r="D1083" i="7" s="1"/>
  <c r="AC1082" i="7"/>
  <c r="D1082" i="7" s="1"/>
  <c r="AC1078" i="7"/>
  <c r="D1078" i="7" s="1"/>
  <c r="AC1076" i="7"/>
  <c r="D1076" i="7" s="1"/>
  <c r="AC1075" i="7"/>
  <c r="D1075" i="7" s="1"/>
  <c r="AC1074" i="7"/>
  <c r="D1074" i="7" s="1"/>
  <c r="AC1073" i="7"/>
  <c r="D1073" i="7" s="1"/>
  <c r="AC1072" i="7"/>
  <c r="D1072" i="7" s="1"/>
  <c r="AC1071" i="7"/>
  <c r="D1071" i="7" s="1"/>
  <c r="AC1069" i="7"/>
  <c r="D1069" i="7" s="1"/>
  <c r="AC1067" i="7"/>
  <c r="D1067" i="7" s="1"/>
  <c r="AC1065" i="7"/>
  <c r="D1065" i="7" s="1"/>
  <c r="AC1063" i="7"/>
  <c r="D1063" i="7" s="1"/>
  <c r="AC1062" i="7"/>
  <c r="D1062" i="7" s="1"/>
  <c r="AC1060" i="7"/>
  <c r="D1060" i="7" s="1"/>
  <c r="AC1058" i="7"/>
  <c r="D1058" i="7" s="1"/>
  <c r="AC1054" i="7"/>
  <c r="D1054" i="7" s="1"/>
  <c r="AC1052" i="7"/>
  <c r="D1052" i="7" s="1"/>
  <c r="AC1051" i="7"/>
  <c r="D1051" i="7" s="1"/>
  <c r="AC1048" i="7"/>
  <c r="D1048" i="7" s="1"/>
  <c r="AC1047" i="7"/>
  <c r="D1047" i="7" s="1"/>
  <c r="AC1045" i="7"/>
  <c r="D1045" i="7" s="1"/>
  <c r="AC1044" i="7"/>
  <c r="D1044" i="7" s="1"/>
  <c r="AC1043" i="7"/>
  <c r="D1043" i="7" s="1"/>
  <c r="AC1039" i="7"/>
  <c r="D1039" i="7" s="1"/>
  <c r="AC1036" i="7"/>
  <c r="D1036" i="7" s="1"/>
  <c r="AC1032" i="7"/>
  <c r="D1032" i="7" s="1"/>
  <c r="AC1030" i="7"/>
  <c r="D1030" i="7" s="1"/>
  <c r="AC1029" i="7"/>
  <c r="D1029" i="7" s="1"/>
  <c r="AC1024" i="7"/>
  <c r="D1024" i="7" s="1"/>
  <c r="AC1023" i="7"/>
  <c r="D1023" i="7" s="1"/>
  <c r="AC1022" i="7"/>
  <c r="D1022" i="7" s="1"/>
  <c r="AC1020" i="7"/>
  <c r="D1020" i="7" s="1"/>
  <c r="AC1019" i="7"/>
  <c r="D1019" i="7" s="1"/>
  <c r="AC1018" i="7"/>
  <c r="D1018" i="7" s="1"/>
  <c r="AC1016" i="7"/>
  <c r="D1016" i="7" s="1"/>
  <c r="AC1014" i="7"/>
  <c r="D1014" i="7" s="1"/>
  <c r="AC1013" i="7"/>
  <c r="D1013" i="7" s="1"/>
  <c r="AC1008" i="7"/>
  <c r="D1008" i="7" s="1"/>
  <c r="AC1005" i="7"/>
  <c r="D1005" i="7" s="1"/>
  <c r="AC1004" i="7"/>
  <c r="D1004" i="7" s="1"/>
  <c r="AC1003" i="7"/>
  <c r="D1003" i="7" s="1"/>
  <c r="AC1002" i="7"/>
  <c r="D1002" i="7" s="1"/>
  <c r="AC1000" i="7"/>
  <c r="D1000" i="7" s="1"/>
  <c r="AC999" i="7"/>
  <c r="D999" i="7" s="1"/>
  <c r="AC998" i="7"/>
  <c r="D998" i="7" s="1"/>
  <c r="AC995" i="7"/>
  <c r="D995" i="7" s="1"/>
  <c r="AC994" i="7"/>
  <c r="D994" i="7" s="1"/>
  <c r="AC993" i="7"/>
  <c r="D993" i="7" s="1"/>
  <c r="AC991" i="7"/>
  <c r="D991" i="7" s="1"/>
  <c r="AC990" i="7"/>
  <c r="D990" i="7" s="1"/>
  <c r="AC989" i="7"/>
  <c r="D989" i="7" s="1"/>
  <c r="AC988" i="7"/>
  <c r="D988" i="7" s="1"/>
  <c r="AC987" i="7"/>
  <c r="D987" i="7" s="1"/>
  <c r="AC986" i="7"/>
  <c r="D986" i="7" s="1"/>
  <c r="AC985" i="7"/>
  <c r="D985" i="7" s="1"/>
  <c r="AC984" i="7"/>
  <c r="D984" i="7" s="1"/>
  <c r="AC982" i="7"/>
  <c r="D982" i="7" s="1"/>
  <c r="AC978" i="7"/>
  <c r="D978" i="7" s="1"/>
  <c r="AC977" i="7"/>
  <c r="D977" i="7" s="1"/>
  <c r="AC976" i="7"/>
  <c r="D976" i="7" s="1"/>
  <c r="AC975" i="7"/>
  <c r="D975" i="7" s="1"/>
  <c r="AC972" i="7"/>
  <c r="D972" i="7" s="1"/>
  <c r="AC971" i="7"/>
  <c r="D971" i="7" s="1"/>
  <c r="AC970" i="7"/>
  <c r="D970" i="7" s="1"/>
  <c r="AC968" i="7"/>
  <c r="D968" i="7" s="1"/>
  <c r="AC966" i="7"/>
  <c r="D966" i="7" s="1"/>
  <c r="AC965" i="7"/>
  <c r="D965" i="7" s="1"/>
  <c r="AC964" i="7"/>
  <c r="D964" i="7" s="1"/>
  <c r="AC963" i="7"/>
  <c r="D963" i="7" s="1"/>
  <c r="AC962" i="7"/>
  <c r="D962" i="7" s="1"/>
  <c r="AC961" i="7"/>
  <c r="D961" i="7" s="1"/>
  <c r="AC959" i="7"/>
  <c r="D959" i="7" s="1"/>
  <c r="AC958" i="7"/>
  <c r="D958" i="7" s="1"/>
  <c r="AC957" i="7"/>
  <c r="D957" i="7" s="1"/>
  <c r="AC956" i="7"/>
  <c r="D956" i="7" s="1"/>
  <c r="AC955" i="7"/>
  <c r="D955" i="7" s="1"/>
  <c r="AC951" i="7"/>
  <c r="D951" i="7" s="1"/>
  <c r="AC950" i="7"/>
  <c r="D950" i="7" s="1"/>
  <c r="AC949" i="7"/>
  <c r="D949" i="7" s="1"/>
  <c r="AC948" i="7"/>
  <c r="D948" i="7" s="1"/>
  <c r="AC947" i="7"/>
  <c r="D947" i="7" s="1"/>
  <c r="AC946" i="7"/>
  <c r="D946" i="7" s="1"/>
  <c r="AC943" i="7"/>
  <c r="D943" i="7" s="1"/>
  <c r="AC942" i="7"/>
  <c r="D942" i="7" s="1"/>
  <c r="AC941" i="7"/>
  <c r="D941" i="7" s="1"/>
  <c r="AC940" i="7"/>
  <c r="D940" i="7" s="1"/>
  <c r="AC939" i="7"/>
  <c r="D939" i="7" s="1"/>
  <c r="AC938" i="7"/>
  <c r="D938" i="7" s="1"/>
  <c r="AC937" i="7"/>
  <c r="D937" i="7" s="1"/>
  <c r="AC936" i="7"/>
  <c r="D936" i="7" s="1"/>
  <c r="AC935" i="7"/>
  <c r="D935" i="7" s="1"/>
  <c r="AC934" i="7"/>
  <c r="D934" i="7" s="1"/>
  <c r="AC933" i="7"/>
  <c r="D933" i="7" s="1"/>
  <c r="AC932" i="7"/>
  <c r="D932" i="7" s="1"/>
  <c r="AC930" i="7"/>
  <c r="D930" i="7" s="1"/>
  <c r="AC929" i="7"/>
  <c r="D929" i="7" s="1"/>
  <c r="AC927" i="7"/>
  <c r="D927" i="7" s="1"/>
  <c r="AC926" i="7"/>
  <c r="D926" i="7" s="1"/>
  <c r="AC925" i="7"/>
  <c r="D925" i="7" s="1"/>
  <c r="AC924" i="7"/>
  <c r="D924" i="7" s="1"/>
  <c r="AC923" i="7"/>
  <c r="D923" i="7" s="1"/>
  <c r="AC922" i="7"/>
  <c r="D922" i="7" s="1"/>
  <c r="AC921" i="7"/>
  <c r="D921" i="7" s="1"/>
  <c r="AC919" i="7"/>
  <c r="D919" i="7" s="1"/>
  <c r="AC918" i="7"/>
  <c r="D918" i="7" s="1"/>
  <c r="AC917" i="7"/>
  <c r="D917" i="7" s="1"/>
  <c r="AC916" i="7"/>
  <c r="D916" i="7" s="1"/>
  <c r="AC915" i="7"/>
  <c r="D915" i="7" s="1"/>
  <c r="AC914" i="7"/>
  <c r="D914" i="7" s="1"/>
  <c r="AC913" i="7"/>
  <c r="D913" i="7" s="1"/>
  <c r="AC912" i="7"/>
  <c r="D912" i="7" s="1"/>
  <c r="AC911" i="7"/>
  <c r="D911" i="7" s="1"/>
  <c r="AC910" i="7"/>
  <c r="D910" i="7" s="1"/>
  <c r="AC909" i="7"/>
  <c r="D909" i="7" s="1"/>
  <c r="AC908" i="7"/>
  <c r="D908" i="7" s="1"/>
  <c r="AC907" i="7"/>
  <c r="D907" i="7" s="1"/>
  <c r="AC906" i="7"/>
  <c r="D906" i="7" s="1"/>
  <c r="AC905" i="7"/>
  <c r="D905" i="7" s="1"/>
  <c r="AC904" i="7"/>
  <c r="D904" i="7" s="1"/>
  <c r="AC903" i="7"/>
  <c r="D903" i="7" s="1"/>
  <c r="AC902" i="7"/>
  <c r="D902" i="7" s="1"/>
  <c r="AC901" i="7"/>
  <c r="D901" i="7" s="1"/>
  <c r="AC900" i="7"/>
  <c r="D900" i="7" s="1"/>
  <c r="AC899" i="7"/>
  <c r="D899" i="7" s="1"/>
  <c r="AC898" i="7"/>
  <c r="D898" i="7" s="1"/>
  <c r="AC897" i="7"/>
  <c r="D897" i="7" s="1"/>
  <c r="AC896" i="7"/>
  <c r="D896" i="7" s="1"/>
  <c r="AC893" i="7"/>
  <c r="D893" i="7" s="1"/>
  <c r="AC891" i="7"/>
  <c r="D891" i="7" s="1"/>
  <c r="AC889" i="7"/>
  <c r="D889" i="7" s="1"/>
  <c r="AC888" i="7"/>
  <c r="D888" i="7" s="1"/>
  <c r="AC886" i="7"/>
  <c r="D886" i="7" s="1"/>
  <c r="AC882" i="7"/>
  <c r="D882" i="7" s="1"/>
  <c r="AC880" i="7"/>
  <c r="D880" i="7" s="1"/>
  <c r="AC878" i="7"/>
  <c r="D878" i="7" s="1"/>
  <c r="AC876" i="7"/>
  <c r="D876" i="7" s="1"/>
  <c r="AC874" i="7"/>
  <c r="D874" i="7" s="1"/>
  <c r="AC873" i="7"/>
  <c r="D873" i="7" s="1"/>
  <c r="AC870" i="7"/>
  <c r="D870" i="7" s="1"/>
  <c r="AC869" i="7"/>
  <c r="D869" i="7" s="1"/>
  <c r="AC867" i="7"/>
  <c r="D867" i="7" s="1"/>
  <c r="AC866" i="7"/>
  <c r="D866" i="7" s="1"/>
  <c r="AC865" i="7"/>
  <c r="D865" i="7" s="1"/>
  <c r="AC863" i="7"/>
  <c r="D863" i="7" s="1"/>
  <c r="AC861" i="7"/>
  <c r="D861" i="7" s="1"/>
  <c r="AC859" i="7"/>
  <c r="D859" i="7" s="1"/>
  <c r="D857" i="7"/>
  <c r="AC855" i="7"/>
  <c r="D855" i="7" s="1"/>
  <c r="AC854" i="7"/>
  <c r="D854" i="7" s="1"/>
  <c r="AC852" i="7"/>
  <c r="D852" i="7" s="1"/>
  <c r="AC851" i="7"/>
  <c r="D851" i="7" s="1"/>
  <c r="AC850" i="7"/>
  <c r="D850" i="7" s="1"/>
  <c r="AC849" i="7"/>
  <c r="D849" i="7" s="1"/>
  <c r="AC848" i="7"/>
  <c r="D848" i="7" s="1"/>
  <c r="AC846" i="7"/>
  <c r="D846" i="7" s="1"/>
  <c r="AC844" i="7"/>
  <c r="D844" i="7" s="1"/>
  <c r="AC842" i="7"/>
  <c r="D842" i="7" s="1"/>
  <c r="AC839" i="7"/>
  <c r="D839" i="7" s="1"/>
  <c r="AC837" i="7"/>
  <c r="D837" i="7" s="1"/>
  <c r="AC835" i="7"/>
  <c r="D835" i="7" s="1"/>
  <c r="AC833" i="7"/>
  <c r="D833" i="7" s="1"/>
  <c r="AC831" i="7"/>
  <c r="D831" i="7" s="1"/>
  <c r="AC829" i="7"/>
  <c r="D829" i="7" s="1"/>
  <c r="AC827" i="7"/>
  <c r="D827" i="7" s="1"/>
  <c r="AC825" i="7"/>
  <c r="D825" i="7" s="1"/>
  <c r="AC824" i="7"/>
  <c r="D824" i="7" s="1"/>
  <c r="AC822" i="7"/>
  <c r="D822" i="7" s="1"/>
  <c r="AC821" i="7"/>
  <c r="D821" i="7" s="1"/>
  <c r="AC820" i="7"/>
  <c r="D820" i="7" s="1"/>
  <c r="AC819" i="7"/>
  <c r="D819" i="7" s="1"/>
  <c r="AC817" i="7"/>
  <c r="D817" i="7" s="1"/>
  <c r="AC815" i="7"/>
  <c r="D815" i="7" s="1"/>
  <c r="AC810" i="7"/>
  <c r="D810" i="7" s="1"/>
  <c r="AC808" i="7"/>
  <c r="D808" i="7" s="1"/>
  <c r="AC807" i="7"/>
  <c r="D807" i="7" s="1"/>
  <c r="AC806" i="7"/>
  <c r="D806" i="7" s="1"/>
  <c r="AC805" i="7"/>
  <c r="D805" i="7" s="1"/>
  <c r="AC804" i="7"/>
  <c r="D804" i="7" s="1"/>
  <c r="AC803" i="7"/>
  <c r="D803" i="7" s="1"/>
  <c r="AC802" i="7"/>
  <c r="D802" i="7" s="1"/>
  <c r="AC801" i="7"/>
  <c r="D801" i="7" s="1"/>
  <c r="AC799" i="7"/>
  <c r="D799" i="7" s="1"/>
  <c r="AC797" i="7"/>
  <c r="D797" i="7" s="1"/>
  <c r="AC795" i="7"/>
  <c r="D795" i="7" s="1"/>
  <c r="AC793" i="7"/>
  <c r="D793" i="7" s="1"/>
  <c r="AC791" i="7"/>
  <c r="D791" i="7" s="1"/>
  <c r="AC789" i="7"/>
  <c r="D789" i="7" s="1"/>
  <c r="AC785" i="7"/>
  <c r="D785" i="7" s="1"/>
  <c r="AC784" i="7"/>
  <c r="D784" i="7" s="1"/>
  <c r="AC782" i="7"/>
  <c r="D782" i="7" s="1"/>
  <c r="AC781" i="7"/>
  <c r="D781" i="7" s="1"/>
  <c r="AC780" i="7"/>
  <c r="D780" i="7" s="1"/>
  <c r="AC779" i="7"/>
  <c r="D779" i="7" s="1"/>
  <c r="AC778" i="7"/>
  <c r="D778" i="7" s="1"/>
  <c r="AC775" i="7"/>
  <c r="D775" i="7" s="1"/>
  <c r="AC773" i="7"/>
  <c r="D773" i="7" s="1"/>
  <c r="AC770" i="7"/>
  <c r="D770" i="7" s="1"/>
  <c r="AC768" i="7"/>
  <c r="D768" i="7" s="1"/>
  <c r="AC767" i="7"/>
  <c r="D767" i="7" s="1"/>
  <c r="AC765" i="7"/>
  <c r="D765" i="7" s="1"/>
  <c r="AC764" i="7"/>
  <c r="D764" i="7" s="1"/>
  <c r="AC762" i="7"/>
  <c r="D762" i="7" s="1"/>
  <c r="AC761" i="7"/>
  <c r="D761" i="7" s="1"/>
  <c r="AC760" i="7"/>
  <c r="D760" i="7" s="1"/>
  <c r="AC759" i="7"/>
  <c r="D759" i="7" s="1"/>
  <c r="AC757" i="7"/>
  <c r="D757" i="7" s="1"/>
  <c r="AC756" i="7"/>
  <c r="D756" i="7" s="1"/>
  <c r="AC754" i="7"/>
  <c r="D754" i="7" s="1"/>
  <c r="AC753" i="7"/>
  <c r="D753" i="7" s="1"/>
  <c r="AC751" i="7"/>
  <c r="D751" i="7" s="1"/>
  <c r="AC750" i="7"/>
  <c r="D750" i="7" s="1"/>
  <c r="AC749" i="7"/>
  <c r="D749" i="7" s="1"/>
  <c r="AC748" i="7"/>
  <c r="D748" i="7" s="1"/>
  <c r="AC747" i="7"/>
  <c r="D747" i="7" s="1"/>
  <c r="AC746" i="7"/>
  <c r="D746" i="7" s="1"/>
  <c r="AC745" i="7"/>
  <c r="D745" i="7" s="1"/>
  <c r="AC744" i="7"/>
  <c r="D744" i="7" s="1"/>
  <c r="AC743" i="7"/>
  <c r="D743" i="7" s="1"/>
  <c r="AC721" i="7"/>
  <c r="D721" i="7" s="1"/>
  <c r="AC718" i="7"/>
  <c r="AC689" i="7"/>
  <c r="D689" i="7" s="1"/>
  <c r="AC688" i="7"/>
  <c r="D688" i="7" s="1"/>
  <c r="AC685" i="7"/>
  <c r="D685" i="7" s="1"/>
  <c r="AC684" i="7"/>
  <c r="D684" i="7" s="1"/>
  <c r="AC683" i="7"/>
  <c r="D683" i="7" s="1"/>
  <c r="AC682" i="7"/>
  <c r="D682" i="7" s="1"/>
  <c r="AC681" i="7"/>
  <c r="D681" i="7" s="1"/>
  <c r="AC680" i="7"/>
  <c r="D680" i="7" s="1"/>
  <c r="AC679" i="7"/>
  <c r="D679" i="7" s="1"/>
  <c r="AC678" i="7"/>
  <c r="D678" i="7" s="1"/>
  <c r="AC677" i="7"/>
  <c r="D677" i="7" s="1"/>
  <c r="AC676" i="7"/>
  <c r="D676" i="7" s="1"/>
  <c r="AC675" i="7"/>
  <c r="D675" i="7" s="1"/>
  <c r="AC674" i="7"/>
  <c r="D674" i="7" s="1"/>
  <c r="AC673" i="7"/>
  <c r="D673" i="7" s="1"/>
  <c r="AC672" i="7"/>
  <c r="D672" i="7" s="1"/>
  <c r="AC671" i="7"/>
  <c r="D671" i="7" s="1"/>
  <c r="AC667" i="7"/>
  <c r="D667" i="7" s="1"/>
  <c r="AC666" i="7"/>
  <c r="D666" i="7" s="1"/>
  <c r="AC665" i="7"/>
  <c r="D665" i="7" s="1"/>
  <c r="AC664" i="7"/>
  <c r="D664" i="7" s="1"/>
  <c r="AC662" i="7"/>
  <c r="AC660" i="7"/>
  <c r="D660" i="7" s="1"/>
  <c r="AC658" i="7"/>
  <c r="D658" i="7" s="1"/>
  <c r="AC657" i="7"/>
  <c r="D657" i="7" s="1"/>
  <c r="AC655" i="7"/>
  <c r="D655" i="7" s="1"/>
  <c r="AC654" i="7"/>
  <c r="D654" i="7" s="1"/>
  <c r="AC653" i="7"/>
  <c r="D653" i="7" s="1"/>
  <c r="AC652" i="7"/>
  <c r="D652" i="7" s="1"/>
  <c r="AC650" i="7"/>
  <c r="D650" i="7" s="1"/>
  <c r="AC649" i="7"/>
  <c r="D649" i="7" s="1"/>
  <c r="AC584" i="7"/>
  <c r="D584" i="7" s="1"/>
  <c r="AC583" i="7"/>
  <c r="D583" i="7" s="1"/>
  <c r="AC582" i="7"/>
  <c r="D582" i="7" s="1"/>
  <c r="AC581" i="7"/>
  <c r="D581" i="7" s="1"/>
  <c r="AC580" i="7"/>
  <c r="D580" i="7" s="1"/>
  <c r="AC579" i="7"/>
  <c r="D579" i="7" s="1"/>
  <c r="AC576" i="7"/>
  <c r="D576" i="7" s="1"/>
  <c r="AC575" i="7"/>
  <c r="D575" i="7" s="1"/>
  <c r="AC574" i="7"/>
  <c r="D574" i="7" s="1"/>
  <c r="AC573" i="7"/>
  <c r="D573" i="7" s="1"/>
  <c r="AC571" i="7"/>
  <c r="D571" i="7" s="1"/>
  <c r="AC570" i="7"/>
  <c r="D570" i="7" s="1"/>
  <c r="AC569" i="7"/>
  <c r="D569" i="7" s="1"/>
  <c r="AC567" i="7"/>
  <c r="D567" i="7" s="1"/>
  <c r="AC566" i="7"/>
  <c r="D566" i="7" s="1"/>
  <c r="AC564" i="7"/>
  <c r="D564" i="7" s="1"/>
  <c r="AC563" i="7"/>
  <c r="D563" i="7" s="1"/>
  <c r="AC562" i="7"/>
  <c r="D562" i="7" s="1"/>
  <c r="AC561" i="7"/>
  <c r="D561" i="7" s="1"/>
  <c r="AC559" i="7"/>
  <c r="D559" i="7" s="1"/>
  <c r="AC558" i="7"/>
  <c r="D558" i="7" s="1"/>
  <c r="AC555" i="7"/>
  <c r="D555" i="7" s="1"/>
  <c r="AC554" i="7"/>
  <c r="D554" i="7" s="1"/>
  <c r="AC553" i="7"/>
  <c r="D553" i="7" s="1"/>
  <c r="AC552" i="7"/>
  <c r="D552" i="7" s="1"/>
  <c r="AC551" i="7"/>
  <c r="D551" i="7" s="1"/>
  <c r="AC550" i="7"/>
  <c r="D550" i="7" s="1"/>
  <c r="AC549" i="7"/>
  <c r="D549" i="7" s="1"/>
  <c r="AC548" i="7"/>
  <c r="D548" i="7" s="1"/>
  <c r="AC547" i="7"/>
  <c r="D547" i="7" s="1"/>
  <c r="AC546" i="7"/>
  <c r="D546" i="7" s="1"/>
  <c r="AC545" i="7"/>
  <c r="D545" i="7" s="1"/>
  <c r="AC544" i="7"/>
  <c r="D544" i="7" s="1"/>
  <c r="AC542" i="7"/>
  <c r="D542" i="7" s="1"/>
  <c r="AC541" i="7"/>
  <c r="D541" i="7" s="1"/>
  <c r="AC538" i="7"/>
  <c r="D538" i="7" s="1"/>
  <c r="AC537" i="7"/>
  <c r="D537" i="7" s="1"/>
  <c r="AC536" i="7"/>
  <c r="D536" i="7" s="1"/>
  <c r="AC535" i="7"/>
  <c r="AC532" i="7"/>
  <c r="AC530" i="7"/>
  <c r="D530" i="7" s="1"/>
  <c r="AC521" i="7"/>
  <c r="D521" i="7" s="1"/>
  <c r="AC513" i="7"/>
  <c r="AC511" i="7"/>
  <c r="D511" i="7" s="1"/>
  <c r="AC507" i="7"/>
  <c r="D507" i="7" s="1"/>
  <c r="AC503" i="7"/>
  <c r="D503" i="7" s="1"/>
  <c r="AC502" i="7"/>
  <c r="D502" i="7" s="1"/>
  <c r="AC500" i="7"/>
  <c r="AC496" i="7"/>
  <c r="D496" i="7" s="1"/>
  <c r="AC494" i="7"/>
  <c r="D494" i="7" s="1"/>
  <c r="AC492" i="7"/>
  <c r="D492" i="7" s="1"/>
  <c r="AC490" i="7"/>
  <c r="D490" i="7" s="1"/>
  <c r="AC488" i="7"/>
  <c r="D488" i="7" s="1"/>
  <c r="AC484" i="7"/>
  <c r="AC480" i="7"/>
  <c r="D480" i="7" s="1"/>
  <c r="AC479" i="7"/>
  <c r="D479" i="7" s="1"/>
  <c r="AC475" i="7"/>
  <c r="D475" i="7" s="1"/>
  <c r="AC474" i="7"/>
  <c r="D474" i="7" s="1"/>
  <c r="AC473" i="7"/>
  <c r="D473" i="7" s="1"/>
  <c r="AC472" i="7"/>
  <c r="D472" i="7" s="1"/>
  <c r="AC471" i="7"/>
  <c r="D471" i="7" s="1"/>
  <c r="AC470" i="7"/>
  <c r="AC463" i="7"/>
  <c r="D463" i="7" s="1"/>
  <c r="AC462" i="7"/>
  <c r="D462" i="7" s="1"/>
  <c r="AC461" i="7"/>
  <c r="AC458" i="7"/>
  <c r="D458" i="7" s="1"/>
  <c r="AC456" i="7"/>
  <c r="D456" i="7" s="1"/>
  <c r="AC452" i="7"/>
  <c r="AC450" i="7"/>
  <c r="AC446" i="7"/>
  <c r="AC444" i="7"/>
  <c r="AC443" i="7" s="1"/>
  <c r="AC442" i="7"/>
  <c r="AC441" i="7" s="1"/>
  <c r="AC440" i="7"/>
  <c r="D440" i="7" s="1"/>
  <c r="AC439" i="7"/>
  <c r="D439" i="7" s="1"/>
  <c r="AC437" i="7"/>
  <c r="D437" i="7" s="1"/>
  <c r="AC436" i="7"/>
  <c r="D436" i="7" s="1"/>
  <c r="AC435" i="7"/>
  <c r="D435" i="7" s="1"/>
  <c r="AC434" i="7"/>
  <c r="D434" i="7" s="1"/>
  <c r="AC433" i="7"/>
  <c r="D433" i="7" s="1"/>
  <c r="AC432" i="7"/>
  <c r="AC430" i="7"/>
  <c r="AC429" i="7" s="1"/>
  <c r="AC428" i="7"/>
  <c r="D428" i="7" s="1"/>
  <c r="AC426" i="7"/>
  <c r="D426" i="7" s="1"/>
  <c r="AC425" i="7"/>
  <c r="D425" i="7" s="1"/>
  <c r="AC424" i="7"/>
  <c r="AC417" i="7"/>
  <c r="D417" i="7" s="1"/>
  <c r="AC416" i="7"/>
  <c r="D416" i="7" s="1"/>
  <c r="AC415" i="7"/>
  <c r="AC412" i="7"/>
  <c r="AC408" i="7"/>
  <c r="D408" i="7" s="1"/>
  <c r="AC406" i="7"/>
  <c r="D406" i="7" s="1"/>
  <c r="AC405" i="7"/>
  <c r="D405" i="7" s="1"/>
  <c r="AC400" i="7"/>
  <c r="AC399" i="7" s="1"/>
  <c r="AC398" i="7"/>
  <c r="D398" i="7" s="1"/>
  <c r="AC397" i="7"/>
  <c r="D397" i="7" s="1"/>
  <c r="AC396" i="7"/>
  <c r="D396" i="7" s="1"/>
  <c r="AC394" i="7"/>
  <c r="D394" i="7" s="1"/>
  <c r="AC393" i="7"/>
  <c r="D393" i="7" s="1"/>
  <c r="AC392" i="7"/>
  <c r="AC384" i="7"/>
  <c r="AC383" i="7" s="1"/>
  <c r="AC381" i="7"/>
  <c r="AC375" i="7"/>
  <c r="AC374" i="7" s="1"/>
  <c r="AC370" i="7"/>
  <c r="AC369" i="7" s="1"/>
  <c r="AC368" i="7"/>
  <c r="D368" i="7" s="1"/>
  <c r="AC367" i="7"/>
  <c r="D367" i="7" s="1"/>
  <c r="AC365" i="7"/>
  <c r="D365" i="7" s="1"/>
  <c r="AC364" i="7"/>
  <c r="D364" i="7" s="1"/>
  <c r="AC363" i="7"/>
  <c r="D363" i="7" s="1"/>
  <c r="AC360" i="7"/>
  <c r="D360" i="7" s="1"/>
  <c r="AC357" i="7"/>
  <c r="D357" i="7" s="1"/>
  <c r="AC356" i="7"/>
  <c r="D356" i="7" s="1"/>
  <c r="AC355" i="7"/>
  <c r="AC350" i="7"/>
  <c r="AC347" i="7"/>
  <c r="AC344" i="7"/>
  <c r="AC333" i="7"/>
  <c r="D333" i="7" s="1"/>
  <c r="AC327" i="7"/>
  <c r="D327" i="7" s="1"/>
  <c r="AC326" i="7"/>
  <c r="D326" i="7" s="1"/>
  <c r="AC325" i="7"/>
  <c r="D325" i="7" s="1"/>
  <c r="AC324" i="7"/>
  <c r="D324" i="7" s="1"/>
  <c r="AC322" i="7"/>
  <c r="AC320" i="7"/>
  <c r="D320" i="7" s="1"/>
  <c r="AC316" i="7"/>
  <c r="D316" i="7" s="1"/>
  <c r="AC315" i="7"/>
  <c r="D315" i="7" s="1"/>
  <c r="AC313" i="7"/>
  <c r="D313" i="7" s="1"/>
  <c r="AC307" i="7"/>
  <c r="D307" i="7" s="1"/>
  <c r="AC306" i="7"/>
  <c r="AC304" i="7"/>
  <c r="AC303" i="7" s="1"/>
  <c r="AC298" i="7"/>
  <c r="AC290" i="7"/>
  <c r="D290" i="7" s="1"/>
  <c r="AC289" i="7"/>
  <c r="AC284" i="7"/>
  <c r="D284" i="7" s="1"/>
  <c r="AC282" i="7"/>
  <c r="AC278" i="7"/>
  <c r="D278" i="7" s="1"/>
  <c r="AC277" i="7"/>
  <c r="D277" i="7" s="1"/>
  <c r="AC276" i="7"/>
  <c r="D276" i="7" s="1"/>
  <c r="AC273" i="7"/>
  <c r="D273" i="7" s="1"/>
  <c r="AC272" i="7"/>
  <c r="D272" i="7" s="1"/>
  <c r="AC271" i="7"/>
  <c r="D271" i="7" s="1"/>
  <c r="AC269" i="7"/>
  <c r="D269" i="7" s="1"/>
  <c r="AC268" i="7"/>
  <c r="D268" i="7" s="1"/>
  <c r="AC267" i="7"/>
  <c r="AC262" i="7"/>
  <c r="D262" i="7" s="1"/>
  <c r="AC261" i="7"/>
  <c r="D261" i="7" s="1"/>
  <c r="AC259" i="7"/>
  <c r="D259" i="7" s="1"/>
  <c r="AC258" i="7"/>
  <c r="D258" i="7" s="1"/>
  <c r="AC256" i="7"/>
  <c r="D256" i="7" s="1"/>
  <c r="AC285" i="7"/>
  <c r="D285" i="7" s="1"/>
  <c r="AC280" i="7"/>
  <c r="D280" i="7" s="1"/>
  <c r="AC253" i="7"/>
  <c r="D253" i="7" s="1"/>
  <c r="AC251" i="7"/>
  <c r="D251" i="7" s="1"/>
  <c r="AC250" i="7"/>
  <c r="D250" i="7" s="1"/>
  <c r="AC248" i="7"/>
  <c r="D248" i="7" s="1"/>
  <c r="AC231" i="7"/>
  <c r="AC217" i="7"/>
  <c r="D217" i="7" s="1"/>
  <c r="AC214" i="7"/>
  <c r="D214" i="7" s="1"/>
  <c r="AC210" i="7"/>
  <c r="D210" i="7" s="1"/>
  <c r="AC209" i="7"/>
  <c r="D209" i="7" s="1"/>
  <c r="AC208" i="7"/>
  <c r="D208" i="7" s="1"/>
  <c r="AC202" i="7"/>
  <c r="AC201" i="7"/>
  <c r="D179" i="7"/>
  <c r="D177" i="7"/>
  <c r="D176" i="7"/>
  <c r="D175" i="7"/>
  <c r="D173" i="7"/>
  <c r="D172" i="7"/>
  <c r="D171" i="7"/>
  <c r="D170" i="7"/>
  <c r="D168" i="7"/>
  <c r="D166" i="7"/>
  <c r="D165" i="7"/>
  <c r="D164" i="7"/>
  <c r="AC157" i="7"/>
  <c r="D157" i="7" s="1"/>
  <c r="AC156" i="7"/>
  <c r="D156" i="7" s="1"/>
  <c r="AC138" i="7"/>
  <c r="D138" i="7" s="1"/>
  <c r="AC137" i="7"/>
  <c r="D137" i="7" s="1"/>
  <c r="AC136" i="7"/>
  <c r="D136" i="7" s="1"/>
  <c r="AC135" i="7"/>
  <c r="D135" i="7" s="1"/>
  <c r="AC134" i="7"/>
  <c r="D134" i="7" s="1"/>
  <c r="AC133" i="7"/>
  <c r="D133" i="7" s="1"/>
  <c r="AC132" i="7"/>
  <c r="D132" i="7" s="1"/>
  <c r="AC131" i="7"/>
  <c r="D131" i="7" s="1"/>
  <c r="AC130" i="7"/>
  <c r="D130" i="7" s="1"/>
  <c r="AC129" i="7"/>
  <c r="D129" i="7" s="1"/>
  <c r="AC128" i="7"/>
  <c r="D128" i="7" s="1"/>
  <c r="AC127" i="7"/>
  <c r="AC123" i="7"/>
  <c r="D123" i="7" s="1"/>
  <c r="D122" i="7"/>
  <c r="AC121" i="7"/>
  <c r="D121" i="7" s="1"/>
  <c r="AC118" i="7"/>
  <c r="D118" i="7" s="1"/>
  <c r="AC113" i="7"/>
  <c r="D113" i="7" s="1"/>
  <c r="AC111" i="7"/>
  <c r="D111" i="7" s="1"/>
  <c r="AC109" i="7"/>
  <c r="D109" i="7" s="1"/>
  <c r="AC108" i="7"/>
  <c r="D108" i="7" s="1"/>
  <c r="AC102" i="7"/>
  <c r="D102" i="7" s="1"/>
  <c r="AC101" i="7"/>
  <c r="D101" i="7" s="1"/>
  <c r="AC100" i="7"/>
  <c r="D100" i="7" s="1"/>
  <c r="AC99" i="7"/>
  <c r="D99" i="7" s="1"/>
  <c r="AC97" i="7"/>
  <c r="D97" i="7" s="1"/>
  <c r="AC94" i="7"/>
  <c r="D94" i="7" s="1"/>
  <c r="AC93" i="7"/>
  <c r="D93" i="7" s="1"/>
  <c r="AC92" i="7"/>
  <c r="D92" i="7" s="1"/>
  <c r="AC89" i="7"/>
  <c r="D89" i="7" s="1"/>
  <c r="AC88" i="7"/>
  <c r="D88" i="7" s="1"/>
  <c r="AC75" i="7"/>
  <c r="D75" i="7" s="1"/>
  <c r="AC74" i="7"/>
  <c r="D74" i="7" s="1"/>
  <c r="AC73" i="7"/>
  <c r="D73" i="7" s="1"/>
  <c r="AC72" i="7"/>
  <c r="D72" i="7" s="1"/>
  <c r="AC71" i="7"/>
  <c r="D71" i="7" s="1"/>
  <c r="AC70" i="7"/>
  <c r="D70" i="7" s="1"/>
  <c r="AC69" i="7"/>
  <c r="D69" i="7" s="1"/>
  <c r="AC68" i="7"/>
  <c r="D68" i="7" s="1"/>
  <c r="AC67" i="7"/>
  <c r="D67" i="7" s="1"/>
  <c r="AC66" i="7"/>
  <c r="D66" i="7" s="1"/>
  <c r="AC65" i="7"/>
  <c r="D65" i="7" s="1"/>
  <c r="AC64" i="7"/>
  <c r="D64" i="7" s="1"/>
  <c r="AC63" i="7"/>
  <c r="D63" i="7" s="1"/>
  <c r="AC62" i="7"/>
  <c r="D62" i="7" s="1"/>
  <c r="AC61" i="7"/>
  <c r="D61" i="7" s="1"/>
  <c r="AC60" i="7"/>
  <c r="D60" i="7" s="1"/>
  <c r="AC56" i="7"/>
  <c r="D56" i="7" s="1"/>
  <c r="AC55" i="7"/>
  <c r="D55" i="7" s="1"/>
  <c r="AC50" i="7"/>
  <c r="D50" i="7" s="1"/>
  <c r="AC49" i="7"/>
  <c r="D49" i="7" s="1"/>
  <c r="AC48" i="7"/>
  <c r="D48" i="7" s="1"/>
  <c r="AC47" i="7"/>
  <c r="D47" i="7" s="1"/>
  <c r="AC46" i="7"/>
  <c r="D46" i="7" s="1"/>
  <c r="AC45" i="7"/>
  <c r="D45" i="7" s="1"/>
  <c r="AC44" i="7"/>
  <c r="D44" i="7" s="1"/>
  <c r="AC42" i="7"/>
  <c r="D42" i="7" s="1"/>
  <c r="AC41" i="7"/>
  <c r="D41" i="7" s="1"/>
  <c r="AC40" i="7"/>
  <c r="D40" i="7" s="1"/>
  <c r="AC39" i="7"/>
  <c r="D39" i="7" s="1"/>
  <c r="AC37" i="7"/>
  <c r="D37" i="7" s="1"/>
  <c r="AC36" i="7"/>
  <c r="D36" i="7" s="1"/>
  <c r="AC34" i="7"/>
  <c r="D34" i="7" s="1"/>
  <c r="AC33" i="7"/>
  <c r="D33" i="7" s="1"/>
  <c r="AC32" i="7"/>
  <c r="D32" i="7" s="1"/>
  <c r="AC31" i="7"/>
  <c r="D31" i="7" s="1"/>
  <c r="AC30" i="7"/>
  <c r="D30" i="7" s="1"/>
  <c r="AC29" i="7"/>
  <c r="D29" i="7" s="1"/>
  <c r="AC28" i="7"/>
  <c r="D28" i="7" s="1"/>
  <c r="AC26" i="7"/>
  <c r="D26" i="7" s="1"/>
  <c r="AC25" i="7"/>
  <c r="D25" i="7" s="1"/>
  <c r="AC23" i="7"/>
  <c r="D23" i="7" s="1"/>
  <c r="AC22" i="7"/>
  <c r="AC1037" i="7"/>
  <c r="D1037" i="7" s="1"/>
  <c r="AC1010" i="7"/>
  <c r="D1010" i="7" s="1"/>
  <c r="AC1007" i="7"/>
  <c r="D1007" i="7" s="1"/>
  <c r="AC981" i="7"/>
  <c r="D981" i="7" s="1"/>
  <c r="AC980" i="7"/>
  <c r="D980" i="7" s="1"/>
  <c r="AC979" i="7"/>
  <c r="D979" i="7" s="1"/>
  <c r="AC771" i="7"/>
  <c r="D771" i="7" s="1"/>
  <c r="AC740" i="7"/>
  <c r="D740" i="7" s="1"/>
  <c r="AC670" i="7"/>
  <c r="D670" i="7" s="1"/>
  <c r="AC669" i="7"/>
  <c r="D669" i="7" s="1"/>
  <c r="AC668" i="7"/>
  <c r="D668" i="7" s="1"/>
  <c r="AC659" i="7"/>
  <c r="D659" i="7" s="1"/>
  <c r="AC505" i="7"/>
  <c r="D505" i="7" s="1"/>
  <c r="AC504" i="7"/>
  <c r="D504" i="7" s="1"/>
  <c r="AC465" i="7"/>
  <c r="D465" i="7" s="1"/>
  <c r="AC464" i="7"/>
  <c r="D464" i="7" s="1"/>
  <c r="AC427" i="7"/>
  <c r="D427" i="7" s="1"/>
  <c r="D421" i="7"/>
  <c r="AC382" i="7"/>
  <c r="D382" i="7" s="1"/>
  <c r="D371" i="7"/>
  <c r="AC329" i="7"/>
  <c r="D329" i="7" s="1"/>
  <c r="AC302" i="7"/>
  <c r="D302" i="7" s="1"/>
  <c r="AC300" i="7"/>
  <c r="D300" i="7" s="1"/>
  <c r="AC299" i="7"/>
  <c r="D299" i="7" s="1"/>
  <c r="AC234" i="7"/>
  <c r="D234" i="7" s="1"/>
  <c r="AC215" i="7"/>
  <c r="D215" i="7" s="1"/>
  <c r="AC213" i="7"/>
  <c r="D213" i="7" s="1"/>
  <c r="AC207" i="7"/>
  <c r="D207" i="7" s="1"/>
  <c r="D188" i="7"/>
  <c r="D187" i="7"/>
  <c r="D186" i="7"/>
  <c r="D178" i="7"/>
  <c r="AC155" i="7"/>
  <c r="AC154" i="7"/>
  <c r="D154" i="7" s="1"/>
  <c r="AC153" i="7"/>
  <c r="D153" i="7" s="1"/>
  <c r="AC148" i="7"/>
  <c r="D148" i="7" s="1"/>
  <c r="AC145" i="7"/>
  <c r="D145" i="7" s="1"/>
  <c r="AC141" i="7"/>
  <c r="D141" i="7" s="1"/>
  <c r="AC1108" i="7"/>
  <c r="D1108" i="7" s="1"/>
  <c r="AC960" i="7"/>
  <c r="D960" i="7" s="1"/>
  <c r="AC871" i="7"/>
  <c r="D871" i="7" s="1"/>
  <c r="AC841" i="7"/>
  <c r="D841" i="7" s="1"/>
  <c r="AC526" i="7"/>
  <c r="D524" i="7"/>
  <c r="AC520" i="7"/>
  <c r="D419" i="7"/>
  <c r="D418" i="7"/>
  <c r="AC413" i="7"/>
  <c r="D413" i="7" s="1"/>
  <c r="AC402" i="7"/>
  <c r="AC401" i="7" s="1"/>
  <c r="AC366" i="7"/>
  <c r="D366" i="7" s="1"/>
  <c r="AC359" i="7"/>
  <c r="D359" i="7" s="1"/>
  <c r="AC351" i="7"/>
  <c r="D351" i="7" s="1"/>
  <c r="AC336" i="7"/>
  <c r="D336" i="7" s="1"/>
  <c r="AC335" i="7"/>
  <c r="AC301" i="7"/>
  <c r="D301" i="7" s="1"/>
  <c r="D295" i="7"/>
  <c r="AC283" i="7"/>
  <c r="D283" i="7" s="1"/>
  <c r="AC270" i="7"/>
  <c r="D270" i="7" s="1"/>
  <c r="AC260" i="7"/>
  <c r="D260" i="7" s="1"/>
  <c r="AC255" i="7"/>
  <c r="D255" i="7" s="1"/>
  <c r="AC107" i="7"/>
  <c r="D107" i="7" s="1"/>
  <c r="AC1026" i="7"/>
  <c r="D1026" i="7" s="1"/>
  <c r="AC518" i="7"/>
  <c r="D518" i="7" s="1"/>
  <c r="AC517" i="7"/>
  <c r="D517" i="7" s="1"/>
  <c r="AC516" i="7"/>
  <c r="D516" i="7" s="1"/>
  <c r="AC515" i="7"/>
  <c r="D515" i="7" s="1"/>
  <c r="AC514" i="7"/>
  <c r="AC466" i="7"/>
  <c r="D466" i="7" s="1"/>
  <c r="AC457" i="7"/>
  <c r="D457" i="7" s="1"/>
  <c r="D420" i="7"/>
  <c r="AC395" i="7"/>
  <c r="D395" i="7" s="1"/>
  <c r="AC348" i="7"/>
  <c r="D348" i="7" s="1"/>
  <c r="D174" i="7"/>
  <c r="D163" i="7"/>
  <c r="AC140" i="7"/>
  <c r="D140" i="7" s="1"/>
  <c r="AC106" i="7"/>
  <c r="D106" i="7" s="1"/>
  <c r="AC288" i="7" l="1"/>
  <c r="AC334" i="7"/>
  <c r="D520" i="7"/>
  <c r="AC281" i="7"/>
  <c r="D298" i="7"/>
  <c r="AC297" i="7"/>
  <c r="D350" i="7"/>
  <c r="AC349" i="7"/>
  <c r="D381" i="7"/>
  <c r="AC380" i="7"/>
  <c r="D412" i="7"/>
  <c r="AC411" i="7"/>
  <c r="D424" i="7"/>
  <c r="AC423" i="7"/>
  <c r="D450" i="7"/>
  <c r="AC449" i="7"/>
  <c r="AC460" i="7"/>
  <c r="AC21" i="7"/>
  <c r="D127" i="7"/>
  <c r="AC126" i="7"/>
  <c r="D355" i="7"/>
  <c r="D415" i="7"/>
  <c r="AC414" i="7"/>
  <c r="D432" i="7"/>
  <c r="AC431" i="7"/>
  <c r="D452" i="7"/>
  <c r="AC451" i="7"/>
  <c r="D500" i="7"/>
  <c r="D526" i="7"/>
  <c r="D525" i="7" s="1"/>
  <c r="AC525" i="7"/>
  <c r="D392" i="7"/>
  <c r="AC391" i="7"/>
  <c r="AC512" i="7"/>
  <c r="AC161" i="7"/>
  <c r="D231" i="7"/>
  <c r="AC230" i="7"/>
  <c r="AC266" i="7"/>
  <c r="D347" i="7"/>
  <c r="AC346" i="7"/>
  <c r="D446" i="7"/>
  <c r="AC445" i="7"/>
  <c r="AC469" i="7"/>
  <c r="D275" i="7"/>
  <c r="D274" i="7" s="1"/>
  <c r="AC274" i="7"/>
  <c r="D535" i="7"/>
  <c r="D534" i="7" s="1"/>
  <c r="AC534" i="7"/>
  <c r="D662" i="7"/>
  <c r="D718" i="7"/>
  <c r="D306" i="7"/>
  <c r="D322" i="7"/>
  <c r="D201" i="7"/>
  <c r="D162" i="7"/>
  <c r="D22" i="7"/>
  <c r="D461" i="7"/>
  <c r="D460" i="7" s="1"/>
  <c r="D155" i="7"/>
  <c r="D126" i="7" s="1"/>
  <c r="D185" i="7"/>
  <c r="D470" i="7"/>
  <c r="D469" i="7" s="1"/>
  <c r="D267" i="7"/>
  <c r="D266" i="7" s="1"/>
  <c r="D282" i="7"/>
  <c r="D281" i="7" s="1"/>
  <c r="D478" i="7"/>
  <c r="D430" i="7"/>
  <c r="D429" i="7" s="1"/>
  <c r="D304" i="7"/>
  <c r="D370" i="7"/>
  <c r="D369" i="7" s="1"/>
  <c r="D384" i="7"/>
  <c r="D400" i="7"/>
  <c r="D444" i="7"/>
  <c r="D373" i="7"/>
  <c r="AC497" i="7"/>
  <c r="D498" i="7"/>
  <c r="D497" i="7" s="1"/>
  <c r="D344" i="7"/>
  <c r="D484" i="7"/>
  <c r="D402" i="7"/>
  <c r="D401" i="7" s="1"/>
  <c r="D442" i="7"/>
  <c r="D441" i="7" s="1"/>
  <c r="AC531" i="7"/>
  <c r="D532" i="7"/>
  <c r="D531" i="7" s="1"/>
  <c r="D335" i="7"/>
  <c r="D334" i="7" s="1"/>
  <c r="D289" i="7"/>
  <c r="D375" i="7"/>
  <c r="D388" i="7"/>
  <c r="D353" i="7"/>
  <c r="AC478" i="7"/>
  <c r="N358" i="7"/>
  <c r="N354" i="7" s="1"/>
  <c r="N211" i="7"/>
  <c r="N199" i="7" s="1"/>
  <c r="D161" i="7" l="1"/>
  <c r="AC211" i="7"/>
  <c r="AC199" i="7" s="1"/>
  <c r="AC358" i="7"/>
  <c r="AC361" i="7"/>
  <c r="D361" i="7" s="1"/>
  <c r="AC377" i="7"/>
  <c r="E1021" i="7"/>
  <c r="F1021" i="7"/>
  <c r="G1021" i="7"/>
  <c r="H1021" i="7"/>
  <c r="I1021" i="7"/>
  <c r="J1021" i="7"/>
  <c r="K1021" i="7"/>
  <c r="L1021" i="7"/>
  <c r="M1021" i="7"/>
  <c r="N1021" i="7"/>
  <c r="O1021" i="7"/>
  <c r="P1021" i="7"/>
  <c r="Q1021" i="7"/>
  <c r="R1021" i="7"/>
  <c r="S1021" i="7"/>
  <c r="T1021" i="7"/>
  <c r="U1021" i="7"/>
  <c r="V1021" i="7"/>
  <c r="W1021" i="7"/>
  <c r="X1021" i="7"/>
  <c r="Y1021" i="7"/>
  <c r="Z1021" i="7"/>
  <c r="AA1021" i="7"/>
  <c r="AB1021" i="7"/>
  <c r="AD1021" i="7"/>
  <c r="AE1021" i="7"/>
  <c r="AC354" i="7" l="1"/>
  <c r="D377" i="7"/>
  <c r="D211" i="7"/>
  <c r="D358" i="7"/>
  <c r="AC1021" i="7"/>
  <c r="E1135" i="7"/>
  <c r="F1135" i="7"/>
  <c r="G1135" i="7"/>
  <c r="H1135" i="7"/>
  <c r="I1135" i="7"/>
  <c r="J1135" i="7"/>
  <c r="K1135" i="7"/>
  <c r="L1135" i="7"/>
  <c r="M1135" i="7"/>
  <c r="N1135" i="7"/>
  <c r="O1135" i="7"/>
  <c r="P1135" i="7"/>
  <c r="Q1135" i="7"/>
  <c r="R1135" i="7"/>
  <c r="S1135" i="7"/>
  <c r="T1135" i="7"/>
  <c r="U1135" i="7"/>
  <c r="V1135" i="7"/>
  <c r="W1135" i="7"/>
  <c r="X1135" i="7"/>
  <c r="Y1135" i="7"/>
  <c r="Z1135" i="7"/>
  <c r="AA1135" i="7"/>
  <c r="AB1135" i="7"/>
  <c r="AC1135" i="7"/>
  <c r="AD1135" i="7"/>
  <c r="AE1135" i="7"/>
  <c r="AT1139" i="7"/>
  <c r="E868" i="7"/>
  <c r="F868" i="7"/>
  <c r="G868" i="7"/>
  <c r="H868" i="7"/>
  <c r="I868" i="7"/>
  <c r="J868" i="7"/>
  <c r="K868" i="7"/>
  <c r="L868" i="7"/>
  <c r="M868" i="7"/>
  <c r="N868" i="7"/>
  <c r="O868" i="7"/>
  <c r="P868" i="7"/>
  <c r="Q868" i="7"/>
  <c r="R868" i="7"/>
  <c r="S868" i="7"/>
  <c r="T868" i="7"/>
  <c r="U868" i="7"/>
  <c r="V868" i="7"/>
  <c r="W868" i="7"/>
  <c r="X868" i="7"/>
  <c r="Y868" i="7"/>
  <c r="Z868" i="7"/>
  <c r="AA868" i="7"/>
  <c r="AB868" i="7"/>
  <c r="AC868" i="7"/>
  <c r="AD868" i="7"/>
  <c r="AE868" i="7"/>
  <c r="AT870" i="7"/>
  <c r="AT472" i="7"/>
  <c r="N409" i="7" l="1"/>
  <c r="AC410" i="7"/>
  <c r="AC409" i="7" s="1"/>
  <c r="N247" i="7"/>
  <c r="AC247" i="7" s="1"/>
  <c r="D247" i="7" s="1"/>
  <c r="N246" i="7"/>
  <c r="AC246" i="7" s="1"/>
  <c r="D246" i="7" s="1"/>
  <c r="N245" i="7"/>
  <c r="AC245" i="7" s="1"/>
  <c r="D245" i="7" s="1"/>
  <c r="N243" i="7"/>
  <c r="AC243" i="7" s="1"/>
  <c r="D243" i="7" s="1"/>
  <c r="N242" i="7"/>
  <c r="AC242" i="7" s="1"/>
  <c r="D242" i="7" s="1"/>
  <c r="N241" i="7"/>
  <c r="N236" i="7" s="1"/>
  <c r="AD202" i="7"/>
  <c r="AD199" i="7" s="1"/>
  <c r="N455" i="7"/>
  <c r="N453" i="7" s="1"/>
  <c r="D410" i="7" l="1"/>
  <c r="AC485" i="7"/>
  <c r="AC483" i="7" s="1"/>
  <c r="AC455" i="7"/>
  <c r="AC453" i="7" s="1"/>
  <c r="D202" i="7"/>
  <c r="D199" i="7" s="1"/>
  <c r="AC241" i="7"/>
  <c r="AC236" i="7" s="1"/>
  <c r="R323" i="7"/>
  <c r="R321" i="7" s="1"/>
  <c r="N404" i="7"/>
  <c r="N403" i="7" s="1"/>
  <c r="N509" i="7"/>
  <c r="AC509" i="7" s="1"/>
  <c r="D509" i="7" s="1"/>
  <c r="AD514" i="7"/>
  <c r="D514" i="7" s="1"/>
  <c r="AD513" i="7"/>
  <c r="AD512" i="7" s="1"/>
  <c r="N974" i="7"/>
  <c r="AC974" i="7" s="1"/>
  <c r="D974" i="7" s="1"/>
  <c r="N883" i="7"/>
  <c r="AC883" i="7" s="1"/>
  <c r="D883" i="7" s="1"/>
  <c r="D485" i="7" l="1"/>
  <c r="D241" i="7"/>
  <c r="D236" i="7" s="1"/>
  <c r="D455" i="7"/>
  <c r="D453" i="7" s="1"/>
  <c r="AC523" i="7"/>
  <c r="AC519" i="7" s="1"/>
  <c r="AC404" i="7"/>
  <c r="AC403" i="7" s="1"/>
  <c r="D513" i="7"/>
  <c r="AC345" i="7"/>
  <c r="AC343" i="7" s="1"/>
  <c r="AC323" i="7"/>
  <c r="AC321" i="7" s="1"/>
  <c r="AE37" i="8"/>
  <c r="R1046" i="7"/>
  <c r="AC1046" i="7" s="1"/>
  <c r="D1046" i="7" s="1"/>
  <c r="N686" i="7"/>
  <c r="N501" i="7"/>
  <c r="N499" i="7" s="1"/>
  <c r="N312" i="7"/>
  <c r="N305" i="7" s="1"/>
  <c r="AC686" i="7" l="1"/>
  <c r="AC661" i="7" s="1"/>
  <c r="N661" i="7"/>
  <c r="AC501" i="7"/>
  <c r="AC499" i="7" s="1"/>
  <c r="D345" i="7"/>
  <c r="D404" i="7"/>
  <c r="D323" i="7"/>
  <c r="D321" i="7" s="1"/>
  <c r="D523" i="7"/>
  <c r="AC312" i="7"/>
  <c r="AC305" i="7" s="1"/>
  <c r="D686" i="7" l="1"/>
  <c r="D661" i="7" s="1"/>
  <c r="D501" i="7"/>
  <c r="D312" i="7"/>
  <c r="D305" i="7" s="1"/>
  <c r="AF22" i="8"/>
  <c r="AF14" i="8" s="1"/>
  <c r="B20" i="9"/>
  <c r="B21" i="9"/>
  <c r="AE22" i="8" l="1"/>
  <c r="F22" i="8" s="1"/>
  <c r="AE21" i="8"/>
  <c r="F21" i="8" s="1"/>
  <c r="AT38" i="7" l="1"/>
  <c r="AT167" i="7"/>
  <c r="AT240" i="7"/>
  <c r="AT434" i="7"/>
  <c r="AT663" i="7"/>
  <c r="AT746" i="7"/>
  <c r="AT748" i="7"/>
  <c r="AT751" i="7"/>
  <c r="AT777" i="7"/>
  <c r="AT784" i="7"/>
  <c r="AT804" i="7"/>
  <c r="AT983" i="7"/>
  <c r="AT1002" i="7"/>
  <c r="AT1004" i="7"/>
  <c r="AT1008" i="7"/>
  <c r="AT1047" i="7"/>
  <c r="AT1165" i="7"/>
  <c r="J43" i="9" l="1"/>
  <c r="L43" i="9"/>
  <c r="I43" i="9"/>
  <c r="P43" i="9" s="1"/>
  <c r="J29" i="9"/>
  <c r="L29" i="9"/>
  <c r="I29" i="9"/>
  <c r="P29" i="9" s="1"/>
  <c r="B58" i="9"/>
  <c r="B55" i="9"/>
  <c r="B54" i="9"/>
  <c r="B52" i="9"/>
  <c r="B50" i="9"/>
  <c r="B48" i="9"/>
  <c r="B46" i="9"/>
  <c r="B45" i="9"/>
  <c r="B44" i="9"/>
  <c r="B42" i="9"/>
  <c r="B40" i="9"/>
  <c r="B38" i="9"/>
  <c r="B37" i="9"/>
  <c r="B36" i="9"/>
  <c r="B34" i="9"/>
  <c r="B33" i="9"/>
  <c r="B31" i="9"/>
  <c r="B30" i="9"/>
  <c r="B28" i="9"/>
  <c r="B26" i="9"/>
  <c r="B24" i="9"/>
  <c r="B19" i="9"/>
  <c r="B18" i="9"/>
  <c r="B17" i="9"/>
  <c r="B16" i="9"/>
  <c r="B15" i="9"/>
  <c r="B14" i="9"/>
  <c r="K19" i="9"/>
  <c r="K18" i="9"/>
  <c r="AE55" i="8" l="1"/>
  <c r="E54" i="8"/>
  <c r="AE19" i="8"/>
  <c r="F19" i="8" s="1"/>
  <c r="AE20" i="8"/>
  <c r="F20" i="8" s="1"/>
  <c r="F55" i="8" l="1"/>
  <c r="R1006" i="7" l="1"/>
  <c r="AC1006" i="7" s="1"/>
  <c r="D1006" i="7" s="1"/>
  <c r="N724" i="7" l="1"/>
  <c r="I722" i="7"/>
  <c r="I717" i="7" s="1"/>
  <c r="G722" i="7"/>
  <c r="G717" i="7" s="1"/>
  <c r="AC724" i="7" l="1"/>
  <c r="D724" i="7" s="1"/>
  <c r="N717" i="7"/>
  <c r="AC722" i="7"/>
  <c r="D722" i="7" l="1"/>
  <c r="D717" i="7" s="1"/>
  <c r="AC717" i="7"/>
  <c r="E954" i="7"/>
  <c r="F954" i="7"/>
  <c r="G954" i="7"/>
  <c r="H954" i="7"/>
  <c r="I954" i="7"/>
  <c r="J954" i="7"/>
  <c r="K954" i="7"/>
  <c r="L954" i="7"/>
  <c r="M954" i="7"/>
  <c r="N954" i="7"/>
  <c r="O954" i="7"/>
  <c r="P954" i="7"/>
  <c r="Q954" i="7"/>
  <c r="R954" i="7"/>
  <c r="S954" i="7"/>
  <c r="T954" i="7"/>
  <c r="U954" i="7"/>
  <c r="V954" i="7"/>
  <c r="W954" i="7"/>
  <c r="X954" i="7"/>
  <c r="Y954" i="7"/>
  <c r="Z954" i="7"/>
  <c r="AA954" i="7"/>
  <c r="AB954" i="7"/>
  <c r="AC954" i="7"/>
  <c r="AD954" i="7"/>
  <c r="AE954" i="7"/>
  <c r="E969" i="7"/>
  <c r="F969" i="7"/>
  <c r="G969" i="7"/>
  <c r="H969" i="7"/>
  <c r="I969" i="7"/>
  <c r="J969" i="7"/>
  <c r="K969" i="7"/>
  <c r="L969" i="7"/>
  <c r="M969" i="7"/>
  <c r="N969" i="7"/>
  <c r="O969" i="7"/>
  <c r="P969" i="7"/>
  <c r="Q969" i="7"/>
  <c r="R969" i="7"/>
  <c r="S969" i="7"/>
  <c r="T969" i="7"/>
  <c r="U969" i="7"/>
  <c r="V969" i="7"/>
  <c r="W969" i="7"/>
  <c r="X969" i="7"/>
  <c r="Y969" i="7"/>
  <c r="Z969" i="7"/>
  <c r="AA969" i="7"/>
  <c r="AB969" i="7"/>
  <c r="AC969" i="7"/>
  <c r="AD969" i="7"/>
  <c r="AE969" i="7"/>
  <c r="E997" i="7"/>
  <c r="F997" i="7"/>
  <c r="G997" i="7"/>
  <c r="H997" i="7"/>
  <c r="I997" i="7"/>
  <c r="J997" i="7"/>
  <c r="K997" i="7"/>
  <c r="L997" i="7"/>
  <c r="M997" i="7"/>
  <c r="N997" i="7"/>
  <c r="O997" i="7"/>
  <c r="P997" i="7"/>
  <c r="Q997" i="7"/>
  <c r="R997" i="7"/>
  <c r="S997" i="7"/>
  <c r="T997" i="7"/>
  <c r="U997" i="7"/>
  <c r="V997" i="7"/>
  <c r="W997" i="7"/>
  <c r="X997" i="7"/>
  <c r="Y997" i="7"/>
  <c r="Z997" i="7"/>
  <c r="AA997" i="7"/>
  <c r="AB997" i="7"/>
  <c r="AC997" i="7"/>
  <c r="AD997" i="7"/>
  <c r="AE997" i="7"/>
  <c r="E1009" i="7"/>
  <c r="F1009" i="7"/>
  <c r="G1009" i="7"/>
  <c r="H1009" i="7"/>
  <c r="I1009" i="7"/>
  <c r="J1009" i="7"/>
  <c r="K1009" i="7"/>
  <c r="L1009" i="7"/>
  <c r="M1009" i="7"/>
  <c r="N1009" i="7"/>
  <c r="O1009" i="7"/>
  <c r="P1009" i="7"/>
  <c r="Q1009" i="7"/>
  <c r="R1009" i="7"/>
  <c r="S1009" i="7"/>
  <c r="T1009" i="7"/>
  <c r="U1009" i="7"/>
  <c r="V1009" i="7"/>
  <c r="W1009" i="7"/>
  <c r="X1009" i="7"/>
  <c r="Y1009" i="7"/>
  <c r="Z1009" i="7"/>
  <c r="AA1009" i="7"/>
  <c r="AB1009" i="7"/>
  <c r="AC1009" i="7"/>
  <c r="AD1009" i="7"/>
  <c r="AE1009" i="7"/>
  <c r="E1012" i="7"/>
  <c r="F1012" i="7"/>
  <c r="G1012" i="7"/>
  <c r="H1012" i="7"/>
  <c r="I1012" i="7"/>
  <c r="J1012" i="7"/>
  <c r="K1012" i="7"/>
  <c r="L1012" i="7"/>
  <c r="M1012" i="7"/>
  <c r="N1012" i="7"/>
  <c r="O1012" i="7"/>
  <c r="P1012" i="7"/>
  <c r="Q1012" i="7"/>
  <c r="R1012" i="7"/>
  <c r="S1012" i="7"/>
  <c r="T1012" i="7"/>
  <c r="U1012" i="7"/>
  <c r="V1012" i="7"/>
  <c r="W1012" i="7"/>
  <c r="X1012" i="7"/>
  <c r="Y1012" i="7"/>
  <c r="Z1012" i="7"/>
  <c r="AA1012" i="7"/>
  <c r="AB1012" i="7"/>
  <c r="AC1012" i="7"/>
  <c r="AD1012" i="7"/>
  <c r="AE1012" i="7"/>
  <c r="E1025" i="7"/>
  <c r="F1025" i="7"/>
  <c r="G1025" i="7"/>
  <c r="H1025" i="7"/>
  <c r="I1025" i="7"/>
  <c r="J1025" i="7"/>
  <c r="K1025" i="7"/>
  <c r="L1025" i="7"/>
  <c r="M1025" i="7"/>
  <c r="N1025" i="7"/>
  <c r="O1025" i="7"/>
  <c r="P1025" i="7"/>
  <c r="Q1025" i="7"/>
  <c r="R1025" i="7"/>
  <c r="S1025" i="7"/>
  <c r="T1025" i="7"/>
  <c r="U1025" i="7"/>
  <c r="V1025" i="7"/>
  <c r="W1025" i="7"/>
  <c r="X1025" i="7"/>
  <c r="Y1025" i="7"/>
  <c r="Z1025" i="7"/>
  <c r="AA1025" i="7"/>
  <c r="AB1025" i="7"/>
  <c r="AC1025" i="7"/>
  <c r="AD1025" i="7"/>
  <c r="AE1025" i="7"/>
  <c r="E1028" i="7"/>
  <c r="F1028" i="7"/>
  <c r="G1028" i="7"/>
  <c r="H1028" i="7"/>
  <c r="I1028" i="7"/>
  <c r="J1028" i="7"/>
  <c r="K1028" i="7"/>
  <c r="L1028" i="7"/>
  <c r="M1028" i="7"/>
  <c r="N1028" i="7"/>
  <c r="O1028" i="7"/>
  <c r="P1028" i="7"/>
  <c r="Q1028" i="7"/>
  <c r="R1028" i="7"/>
  <c r="S1028" i="7"/>
  <c r="T1028" i="7"/>
  <c r="U1028" i="7"/>
  <c r="V1028" i="7"/>
  <c r="W1028" i="7"/>
  <c r="X1028" i="7"/>
  <c r="Y1028" i="7"/>
  <c r="Z1028" i="7"/>
  <c r="AA1028" i="7"/>
  <c r="AB1028" i="7"/>
  <c r="AC1028" i="7"/>
  <c r="AD1028" i="7"/>
  <c r="AE1028" i="7"/>
  <c r="E1031" i="7"/>
  <c r="F1031" i="7"/>
  <c r="G1031" i="7"/>
  <c r="H1031" i="7"/>
  <c r="I1031" i="7"/>
  <c r="J1031" i="7"/>
  <c r="K1031" i="7"/>
  <c r="L1031" i="7"/>
  <c r="M1031" i="7"/>
  <c r="N1031" i="7"/>
  <c r="O1031" i="7"/>
  <c r="P1031" i="7"/>
  <c r="Q1031" i="7"/>
  <c r="R1031" i="7"/>
  <c r="S1031" i="7"/>
  <c r="T1031" i="7"/>
  <c r="U1031" i="7"/>
  <c r="V1031" i="7"/>
  <c r="W1031" i="7"/>
  <c r="X1031" i="7"/>
  <c r="Y1031" i="7"/>
  <c r="Z1031" i="7"/>
  <c r="AA1031" i="7"/>
  <c r="AB1031" i="7"/>
  <c r="AD1031" i="7"/>
  <c r="AE1031" i="7"/>
  <c r="E1033" i="7"/>
  <c r="F1033" i="7"/>
  <c r="G1033" i="7"/>
  <c r="H1033" i="7"/>
  <c r="I1033" i="7"/>
  <c r="J1033" i="7"/>
  <c r="K1033" i="7"/>
  <c r="L1033" i="7"/>
  <c r="M1033" i="7"/>
  <c r="N1033" i="7"/>
  <c r="O1033" i="7"/>
  <c r="P1033" i="7"/>
  <c r="Q1033" i="7"/>
  <c r="R1033" i="7"/>
  <c r="S1033" i="7"/>
  <c r="T1033" i="7"/>
  <c r="U1033" i="7"/>
  <c r="V1033" i="7"/>
  <c r="W1033" i="7"/>
  <c r="X1033" i="7"/>
  <c r="Y1033" i="7"/>
  <c r="Z1033" i="7"/>
  <c r="AA1033" i="7"/>
  <c r="AB1033" i="7"/>
  <c r="AC1033" i="7"/>
  <c r="AD1033" i="7"/>
  <c r="AE1033" i="7"/>
  <c r="E1035" i="7"/>
  <c r="F1035" i="7"/>
  <c r="G1035" i="7"/>
  <c r="H1035" i="7"/>
  <c r="I1035" i="7"/>
  <c r="J1035" i="7"/>
  <c r="K1035" i="7"/>
  <c r="L1035" i="7"/>
  <c r="M1035" i="7"/>
  <c r="N1035" i="7"/>
  <c r="O1035" i="7"/>
  <c r="P1035" i="7"/>
  <c r="Q1035" i="7"/>
  <c r="R1035" i="7"/>
  <c r="S1035" i="7"/>
  <c r="T1035" i="7"/>
  <c r="U1035" i="7"/>
  <c r="V1035" i="7"/>
  <c r="W1035" i="7"/>
  <c r="X1035" i="7"/>
  <c r="Y1035" i="7"/>
  <c r="Z1035" i="7"/>
  <c r="AA1035" i="7"/>
  <c r="AB1035" i="7"/>
  <c r="AC1035" i="7"/>
  <c r="AD1035" i="7"/>
  <c r="AE1035" i="7"/>
  <c r="E1038" i="7"/>
  <c r="F1038" i="7"/>
  <c r="G1038" i="7"/>
  <c r="H1038" i="7"/>
  <c r="I1038" i="7"/>
  <c r="J1038" i="7"/>
  <c r="K1038" i="7"/>
  <c r="L1038" i="7"/>
  <c r="M1038" i="7"/>
  <c r="N1038" i="7"/>
  <c r="O1038" i="7"/>
  <c r="P1038" i="7"/>
  <c r="Q1038" i="7"/>
  <c r="R1038" i="7"/>
  <c r="S1038" i="7"/>
  <c r="T1038" i="7"/>
  <c r="U1038" i="7"/>
  <c r="V1038" i="7"/>
  <c r="W1038" i="7"/>
  <c r="X1038" i="7"/>
  <c r="Y1038" i="7"/>
  <c r="Z1038" i="7"/>
  <c r="AA1038" i="7"/>
  <c r="AB1038" i="7"/>
  <c r="AC1038" i="7"/>
  <c r="AD1038" i="7"/>
  <c r="AE1038" i="7"/>
  <c r="E1040" i="7"/>
  <c r="F1040" i="7"/>
  <c r="G1040" i="7"/>
  <c r="H1040" i="7"/>
  <c r="I1040" i="7"/>
  <c r="J1040" i="7"/>
  <c r="K1040" i="7"/>
  <c r="L1040" i="7"/>
  <c r="M1040" i="7"/>
  <c r="N1040" i="7"/>
  <c r="O1040" i="7"/>
  <c r="P1040" i="7"/>
  <c r="Q1040" i="7"/>
  <c r="R1040" i="7"/>
  <c r="S1040" i="7"/>
  <c r="T1040" i="7"/>
  <c r="U1040" i="7"/>
  <c r="V1040" i="7"/>
  <c r="W1040" i="7"/>
  <c r="X1040" i="7"/>
  <c r="Y1040" i="7"/>
  <c r="Z1040" i="7"/>
  <c r="AA1040" i="7"/>
  <c r="AB1040" i="7"/>
  <c r="AC1040" i="7"/>
  <c r="AD1040" i="7"/>
  <c r="AE1040" i="7"/>
  <c r="E1042" i="7"/>
  <c r="F1042" i="7"/>
  <c r="G1042" i="7"/>
  <c r="H1042" i="7"/>
  <c r="I1042" i="7"/>
  <c r="J1042" i="7"/>
  <c r="K1042" i="7"/>
  <c r="L1042" i="7"/>
  <c r="M1042" i="7"/>
  <c r="N1042" i="7"/>
  <c r="O1042" i="7"/>
  <c r="P1042" i="7"/>
  <c r="Q1042" i="7"/>
  <c r="R1042" i="7"/>
  <c r="S1042" i="7"/>
  <c r="T1042" i="7"/>
  <c r="U1042" i="7"/>
  <c r="V1042" i="7"/>
  <c r="W1042" i="7"/>
  <c r="X1042" i="7"/>
  <c r="Y1042" i="7"/>
  <c r="Z1042" i="7"/>
  <c r="AA1042" i="7"/>
  <c r="AB1042" i="7"/>
  <c r="AC1042" i="7"/>
  <c r="AD1042" i="7"/>
  <c r="AE1042" i="7"/>
  <c r="E1050" i="7"/>
  <c r="F1050" i="7"/>
  <c r="G1050" i="7"/>
  <c r="H1050" i="7"/>
  <c r="I1050" i="7"/>
  <c r="J1050" i="7"/>
  <c r="K1050" i="7"/>
  <c r="L1050" i="7"/>
  <c r="M1050" i="7"/>
  <c r="N1050" i="7"/>
  <c r="O1050" i="7"/>
  <c r="P1050" i="7"/>
  <c r="Q1050" i="7"/>
  <c r="R1050" i="7"/>
  <c r="S1050" i="7"/>
  <c r="T1050" i="7"/>
  <c r="U1050" i="7"/>
  <c r="V1050" i="7"/>
  <c r="W1050" i="7"/>
  <c r="X1050" i="7"/>
  <c r="Y1050" i="7"/>
  <c r="Z1050" i="7"/>
  <c r="AA1050" i="7"/>
  <c r="AB1050" i="7"/>
  <c r="AC1050" i="7"/>
  <c r="AD1050" i="7"/>
  <c r="AE1050" i="7"/>
  <c r="E1053" i="7"/>
  <c r="F1053" i="7"/>
  <c r="G1053" i="7"/>
  <c r="H1053" i="7"/>
  <c r="I1053" i="7"/>
  <c r="J1053" i="7"/>
  <c r="K1053" i="7"/>
  <c r="L1053" i="7"/>
  <c r="M1053" i="7"/>
  <c r="N1053" i="7"/>
  <c r="O1053" i="7"/>
  <c r="P1053" i="7"/>
  <c r="Q1053" i="7"/>
  <c r="R1053" i="7"/>
  <c r="S1053" i="7"/>
  <c r="T1053" i="7"/>
  <c r="U1053" i="7"/>
  <c r="V1053" i="7"/>
  <c r="W1053" i="7"/>
  <c r="X1053" i="7"/>
  <c r="Y1053" i="7"/>
  <c r="Z1053" i="7"/>
  <c r="AA1053" i="7"/>
  <c r="AB1053" i="7"/>
  <c r="AC1053" i="7"/>
  <c r="AD1053" i="7"/>
  <c r="AE1053" i="7"/>
  <c r="E1055" i="7"/>
  <c r="F1055" i="7"/>
  <c r="G1055" i="7"/>
  <c r="H1055" i="7"/>
  <c r="I1055" i="7"/>
  <c r="J1055" i="7"/>
  <c r="K1055" i="7"/>
  <c r="L1055" i="7"/>
  <c r="M1055" i="7"/>
  <c r="N1055" i="7"/>
  <c r="O1055" i="7"/>
  <c r="P1055" i="7"/>
  <c r="Q1055" i="7"/>
  <c r="R1055" i="7"/>
  <c r="S1055" i="7"/>
  <c r="T1055" i="7"/>
  <c r="U1055" i="7"/>
  <c r="V1055" i="7"/>
  <c r="W1055" i="7"/>
  <c r="X1055" i="7"/>
  <c r="Y1055" i="7"/>
  <c r="Z1055" i="7"/>
  <c r="AA1055" i="7"/>
  <c r="AB1055" i="7"/>
  <c r="AC1055" i="7"/>
  <c r="AD1055" i="7"/>
  <c r="AE1055" i="7"/>
  <c r="E1057" i="7"/>
  <c r="F1057" i="7"/>
  <c r="G1057" i="7"/>
  <c r="H1057" i="7"/>
  <c r="I1057" i="7"/>
  <c r="J1057" i="7"/>
  <c r="K1057" i="7"/>
  <c r="L1057" i="7"/>
  <c r="M1057" i="7"/>
  <c r="N1057" i="7"/>
  <c r="O1057" i="7"/>
  <c r="P1057" i="7"/>
  <c r="Q1057" i="7"/>
  <c r="R1057" i="7"/>
  <c r="S1057" i="7"/>
  <c r="T1057" i="7"/>
  <c r="U1057" i="7"/>
  <c r="V1057" i="7"/>
  <c r="W1057" i="7"/>
  <c r="X1057" i="7"/>
  <c r="Y1057" i="7"/>
  <c r="Z1057" i="7"/>
  <c r="AA1057" i="7"/>
  <c r="AB1057" i="7"/>
  <c r="AC1057" i="7"/>
  <c r="AD1057" i="7"/>
  <c r="AE1057" i="7"/>
  <c r="E1059" i="7"/>
  <c r="F1059" i="7"/>
  <c r="G1059" i="7"/>
  <c r="H1059" i="7"/>
  <c r="I1059" i="7"/>
  <c r="J1059" i="7"/>
  <c r="K1059" i="7"/>
  <c r="L1059" i="7"/>
  <c r="M1059" i="7"/>
  <c r="N1059" i="7"/>
  <c r="O1059" i="7"/>
  <c r="P1059" i="7"/>
  <c r="Q1059" i="7"/>
  <c r="R1059" i="7"/>
  <c r="S1059" i="7"/>
  <c r="T1059" i="7"/>
  <c r="U1059" i="7"/>
  <c r="V1059" i="7"/>
  <c r="W1059" i="7"/>
  <c r="X1059" i="7"/>
  <c r="Y1059" i="7"/>
  <c r="Z1059" i="7"/>
  <c r="AA1059" i="7"/>
  <c r="AB1059" i="7"/>
  <c r="AC1059" i="7"/>
  <c r="AD1059" i="7"/>
  <c r="AE1059" i="7"/>
  <c r="E1061" i="7"/>
  <c r="F1061" i="7"/>
  <c r="G1061" i="7"/>
  <c r="H1061" i="7"/>
  <c r="I1061" i="7"/>
  <c r="J1061" i="7"/>
  <c r="K1061" i="7"/>
  <c r="L1061" i="7"/>
  <c r="M1061" i="7"/>
  <c r="N1061" i="7"/>
  <c r="O1061" i="7"/>
  <c r="P1061" i="7"/>
  <c r="Q1061" i="7"/>
  <c r="R1061" i="7"/>
  <c r="S1061" i="7"/>
  <c r="T1061" i="7"/>
  <c r="U1061" i="7"/>
  <c r="V1061" i="7"/>
  <c r="W1061" i="7"/>
  <c r="X1061" i="7"/>
  <c r="Y1061" i="7"/>
  <c r="Z1061" i="7"/>
  <c r="AA1061" i="7"/>
  <c r="AB1061" i="7"/>
  <c r="AC1061" i="7"/>
  <c r="AD1061" i="7"/>
  <c r="AE1061" i="7"/>
  <c r="E1064" i="7"/>
  <c r="F1064" i="7"/>
  <c r="G1064" i="7"/>
  <c r="H1064" i="7"/>
  <c r="I1064" i="7"/>
  <c r="J1064" i="7"/>
  <c r="K1064" i="7"/>
  <c r="L1064" i="7"/>
  <c r="M1064" i="7"/>
  <c r="N1064" i="7"/>
  <c r="O1064" i="7"/>
  <c r="P1064" i="7"/>
  <c r="Q1064" i="7"/>
  <c r="R1064" i="7"/>
  <c r="S1064" i="7"/>
  <c r="T1064" i="7"/>
  <c r="U1064" i="7"/>
  <c r="V1064" i="7"/>
  <c r="W1064" i="7"/>
  <c r="X1064" i="7"/>
  <c r="Y1064" i="7"/>
  <c r="Z1064" i="7"/>
  <c r="AA1064" i="7"/>
  <c r="AB1064" i="7"/>
  <c r="AC1064" i="7"/>
  <c r="AD1064" i="7"/>
  <c r="AE1064" i="7"/>
  <c r="E1066" i="7"/>
  <c r="F1066" i="7"/>
  <c r="G1066" i="7"/>
  <c r="H1066" i="7"/>
  <c r="I1066" i="7"/>
  <c r="J1066" i="7"/>
  <c r="K1066" i="7"/>
  <c r="L1066" i="7"/>
  <c r="M1066" i="7"/>
  <c r="N1066" i="7"/>
  <c r="O1066" i="7"/>
  <c r="P1066" i="7"/>
  <c r="Q1066" i="7"/>
  <c r="R1066" i="7"/>
  <c r="S1066" i="7"/>
  <c r="T1066" i="7"/>
  <c r="U1066" i="7"/>
  <c r="V1066" i="7"/>
  <c r="W1066" i="7"/>
  <c r="X1066" i="7"/>
  <c r="Y1066" i="7"/>
  <c r="Z1066" i="7"/>
  <c r="AA1066" i="7"/>
  <c r="AB1066" i="7"/>
  <c r="AC1066" i="7"/>
  <c r="AD1066" i="7"/>
  <c r="AE1066" i="7"/>
  <c r="E1068" i="7"/>
  <c r="F1068" i="7"/>
  <c r="G1068" i="7"/>
  <c r="H1068" i="7"/>
  <c r="I1068" i="7"/>
  <c r="J1068" i="7"/>
  <c r="K1068" i="7"/>
  <c r="L1068" i="7"/>
  <c r="M1068" i="7"/>
  <c r="N1068" i="7"/>
  <c r="O1068" i="7"/>
  <c r="P1068" i="7"/>
  <c r="Q1068" i="7"/>
  <c r="R1068" i="7"/>
  <c r="S1068" i="7"/>
  <c r="T1068" i="7"/>
  <c r="U1068" i="7"/>
  <c r="V1068" i="7"/>
  <c r="W1068" i="7"/>
  <c r="X1068" i="7"/>
  <c r="Y1068" i="7"/>
  <c r="Z1068" i="7"/>
  <c r="AA1068" i="7"/>
  <c r="AB1068" i="7"/>
  <c r="AC1068" i="7"/>
  <c r="AD1068" i="7"/>
  <c r="AE1068" i="7"/>
  <c r="E1070" i="7"/>
  <c r="F1070" i="7"/>
  <c r="G1070" i="7"/>
  <c r="H1070" i="7"/>
  <c r="I1070" i="7"/>
  <c r="J1070" i="7"/>
  <c r="K1070" i="7"/>
  <c r="L1070" i="7"/>
  <c r="M1070" i="7"/>
  <c r="N1070" i="7"/>
  <c r="O1070" i="7"/>
  <c r="P1070" i="7"/>
  <c r="Q1070" i="7"/>
  <c r="R1070" i="7"/>
  <c r="S1070" i="7"/>
  <c r="T1070" i="7"/>
  <c r="U1070" i="7"/>
  <c r="V1070" i="7"/>
  <c r="W1070" i="7"/>
  <c r="X1070" i="7"/>
  <c r="Y1070" i="7"/>
  <c r="Z1070" i="7"/>
  <c r="AA1070" i="7"/>
  <c r="AB1070" i="7"/>
  <c r="AC1070" i="7"/>
  <c r="AD1070" i="7"/>
  <c r="AE1070" i="7"/>
  <c r="E1077" i="7"/>
  <c r="F1077" i="7"/>
  <c r="G1077" i="7"/>
  <c r="H1077" i="7"/>
  <c r="I1077" i="7"/>
  <c r="J1077" i="7"/>
  <c r="K1077" i="7"/>
  <c r="L1077" i="7"/>
  <c r="M1077" i="7"/>
  <c r="N1077" i="7"/>
  <c r="O1077" i="7"/>
  <c r="P1077" i="7"/>
  <c r="Q1077" i="7"/>
  <c r="R1077" i="7"/>
  <c r="S1077" i="7"/>
  <c r="T1077" i="7"/>
  <c r="U1077" i="7"/>
  <c r="V1077" i="7"/>
  <c r="W1077" i="7"/>
  <c r="X1077" i="7"/>
  <c r="Y1077" i="7"/>
  <c r="Z1077" i="7"/>
  <c r="AA1077" i="7"/>
  <c r="AB1077" i="7"/>
  <c r="AC1077" i="7"/>
  <c r="AD1077" i="7"/>
  <c r="AE1077" i="7"/>
  <c r="E1080" i="7"/>
  <c r="F1080" i="7"/>
  <c r="G1080" i="7"/>
  <c r="H1080" i="7"/>
  <c r="I1080" i="7"/>
  <c r="J1080" i="7"/>
  <c r="K1080" i="7"/>
  <c r="L1080" i="7"/>
  <c r="M1080" i="7"/>
  <c r="N1080" i="7"/>
  <c r="O1080" i="7"/>
  <c r="P1080" i="7"/>
  <c r="Q1080" i="7"/>
  <c r="R1080" i="7"/>
  <c r="S1080" i="7"/>
  <c r="T1080" i="7"/>
  <c r="U1080" i="7"/>
  <c r="V1080" i="7"/>
  <c r="W1080" i="7"/>
  <c r="X1080" i="7"/>
  <c r="Y1080" i="7"/>
  <c r="Z1080" i="7"/>
  <c r="AA1080" i="7"/>
  <c r="AB1080" i="7"/>
  <c r="AC1080" i="7"/>
  <c r="AD1080" i="7"/>
  <c r="AE1080" i="7"/>
  <c r="E1084" i="7"/>
  <c r="F1084" i="7"/>
  <c r="G1084" i="7"/>
  <c r="H1084" i="7"/>
  <c r="I1084" i="7"/>
  <c r="J1084" i="7"/>
  <c r="K1084" i="7"/>
  <c r="L1084" i="7"/>
  <c r="M1084" i="7"/>
  <c r="N1084" i="7"/>
  <c r="O1084" i="7"/>
  <c r="P1084" i="7"/>
  <c r="Q1084" i="7"/>
  <c r="R1084" i="7"/>
  <c r="S1084" i="7"/>
  <c r="T1084" i="7"/>
  <c r="U1084" i="7"/>
  <c r="V1084" i="7"/>
  <c r="W1084" i="7"/>
  <c r="X1084" i="7"/>
  <c r="Y1084" i="7"/>
  <c r="Z1084" i="7"/>
  <c r="AA1084" i="7"/>
  <c r="AB1084" i="7"/>
  <c r="AC1084" i="7"/>
  <c r="AD1084" i="7"/>
  <c r="AE1084" i="7"/>
  <c r="E1087" i="7"/>
  <c r="F1087" i="7"/>
  <c r="G1087" i="7"/>
  <c r="H1087" i="7"/>
  <c r="I1087" i="7"/>
  <c r="J1087" i="7"/>
  <c r="K1087" i="7"/>
  <c r="L1087" i="7"/>
  <c r="M1087" i="7"/>
  <c r="N1087" i="7"/>
  <c r="O1087" i="7"/>
  <c r="P1087" i="7"/>
  <c r="Q1087" i="7"/>
  <c r="R1087" i="7"/>
  <c r="S1087" i="7"/>
  <c r="T1087" i="7"/>
  <c r="U1087" i="7"/>
  <c r="V1087" i="7"/>
  <c r="W1087" i="7"/>
  <c r="X1087" i="7"/>
  <c r="Y1087" i="7"/>
  <c r="Z1087" i="7"/>
  <c r="AA1087" i="7"/>
  <c r="AB1087" i="7"/>
  <c r="AC1087" i="7"/>
  <c r="AD1087" i="7"/>
  <c r="AE1087" i="7"/>
  <c r="E1089" i="7"/>
  <c r="F1089" i="7"/>
  <c r="G1089" i="7"/>
  <c r="H1089" i="7"/>
  <c r="I1089" i="7"/>
  <c r="J1089" i="7"/>
  <c r="K1089" i="7"/>
  <c r="L1089" i="7"/>
  <c r="M1089" i="7"/>
  <c r="N1089" i="7"/>
  <c r="O1089" i="7"/>
  <c r="P1089" i="7"/>
  <c r="Q1089" i="7"/>
  <c r="R1089" i="7"/>
  <c r="S1089" i="7"/>
  <c r="T1089" i="7"/>
  <c r="U1089" i="7"/>
  <c r="V1089" i="7"/>
  <c r="W1089" i="7"/>
  <c r="X1089" i="7"/>
  <c r="Y1089" i="7"/>
  <c r="Z1089" i="7"/>
  <c r="AA1089" i="7"/>
  <c r="AB1089" i="7"/>
  <c r="AC1089" i="7"/>
  <c r="AD1089" i="7"/>
  <c r="AE1089" i="7"/>
  <c r="E1093" i="7"/>
  <c r="F1093" i="7"/>
  <c r="G1093" i="7"/>
  <c r="H1093" i="7"/>
  <c r="I1093" i="7"/>
  <c r="J1093" i="7"/>
  <c r="K1093" i="7"/>
  <c r="L1093" i="7"/>
  <c r="M1093" i="7"/>
  <c r="N1093" i="7"/>
  <c r="O1093" i="7"/>
  <c r="P1093" i="7"/>
  <c r="Q1093" i="7"/>
  <c r="R1093" i="7"/>
  <c r="S1093" i="7"/>
  <c r="T1093" i="7"/>
  <c r="U1093" i="7"/>
  <c r="V1093" i="7"/>
  <c r="W1093" i="7"/>
  <c r="X1093" i="7"/>
  <c r="Y1093" i="7"/>
  <c r="Z1093" i="7"/>
  <c r="AA1093" i="7"/>
  <c r="AB1093" i="7"/>
  <c r="AC1093" i="7"/>
  <c r="AD1093" i="7"/>
  <c r="AE1093" i="7"/>
  <c r="E1095" i="7"/>
  <c r="F1095" i="7"/>
  <c r="G1095" i="7"/>
  <c r="H1095" i="7"/>
  <c r="I1095" i="7"/>
  <c r="J1095" i="7"/>
  <c r="K1095" i="7"/>
  <c r="L1095" i="7"/>
  <c r="M1095" i="7"/>
  <c r="N1095" i="7"/>
  <c r="O1095" i="7"/>
  <c r="P1095" i="7"/>
  <c r="Q1095" i="7"/>
  <c r="R1095" i="7"/>
  <c r="S1095" i="7"/>
  <c r="T1095" i="7"/>
  <c r="U1095" i="7"/>
  <c r="V1095" i="7"/>
  <c r="W1095" i="7"/>
  <c r="X1095" i="7"/>
  <c r="Y1095" i="7"/>
  <c r="Z1095" i="7"/>
  <c r="AA1095" i="7"/>
  <c r="AB1095" i="7"/>
  <c r="AC1095" i="7"/>
  <c r="AD1095" i="7"/>
  <c r="AE1095" i="7"/>
  <c r="E1097" i="7"/>
  <c r="F1097" i="7"/>
  <c r="G1097" i="7"/>
  <c r="H1097" i="7"/>
  <c r="I1097" i="7"/>
  <c r="J1097" i="7"/>
  <c r="K1097" i="7"/>
  <c r="L1097" i="7"/>
  <c r="M1097" i="7"/>
  <c r="N1097" i="7"/>
  <c r="O1097" i="7"/>
  <c r="P1097" i="7"/>
  <c r="Q1097" i="7"/>
  <c r="R1097" i="7"/>
  <c r="S1097" i="7"/>
  <c r="T1097" i="7"/>
  <c r="U1097" i="7"/>
  <c r="V1097" i="7"/>
  <c r="W1097" i="7"/>
  <c r="X1097" i="7"/>
  <c r="Y1097" i="7"/>
  <c r="Z1097" i="7"/>
  <c r="AA1097" i="7"/>
  <c r="AB1097" i="7"/>
  <c r="AC1097" i="7"/>
  <c r="AD1097" i="7"/>
  <c r="AE1097" i="7"/>
  <c r="E1099" i="7"/>
  <c r="F1099" i="7"/>
  <c r="G1099" i="7"/>
  <c r="H1099" i="7"/>
  <c r="I1099" i="7"/>
  <c r="J1099" i="7"/>
  <c r="K1099" i="7"/>
  <c r="L1099" i="7"/>
  <c r="M1099" i="7"/>
  <c r="N1099" i="7"/>
  <c r="O1099" i="7"/>
  <c r="P1099" i="7"/>
  <c r="Q1099" i="7"/>
  <c r="R1099" i="7"/>
  <c r="S1099" i="7"/>
  <c r="T1099" i="7"/>
  <c r="U1099" i="7"/>
  <c r="V1099" i="7"/>
  <c r="W1099" i="7"/>
  <c r="X1099" i="7"/>
  <c r="Y1099" i="7"/>
  <c r="Z1099" i="7"/>
  <c r="AA1099" i="7"/>
  <c r="AB1099" i="7"/>
  <c r="AC1099" i="7"/>
  <c r="AD1099" i="7"/>
  <c r="AE1099" i="7"/>
  <c r="E1101" i="7"/>
  <c r="F1101" i="7"/>
  <c r="G1101" i="7"/>
  <c r="H1101" i="7"/>
  <c r="I1101" i="7"/>
  <c r="J1101" i="7"/>
  <c r="K1101" i="7"/>
  <c r="L1101" i="7"/>
  <c r="M1101" i="7"/>
  <c r="N1101" i="7"/>
  <c r="O1101" i="7"/>
  <c r="P1101" i="7"/>
  <c r="Q1101" i="7"/>
  <c r="R1101" i="7"/>
  <c r="S1101" i="7"/>
  <c r="T1101" i="7"/>
  <c r="U1101" i="7"/>
  <c r="V1101" i="7"/>
  <c r="W1101" i="7"/>
  <c r="X1101" i="7"/>
  <c r="Y1101" i="7"/>
  <c r="Z1101" i="7"/>
  <c r="AA1101" i="7"/>
  <c r="AB1101" i="7"/>
  <c r="AC1101" i="7"/>
  <c r="AD1101" i="7"/>
  <c r="AE1101" i="7"/>
  <c r="E1103" i="7"/>
  <c r="F1103" i="7"/>
  <c r="G1103" i="7"/>
  <c r="H1103" i="7"/>
  <c r="I1103" i="7"/>
  <c r="J1103" i="7"/>
  <c r="K1103" i="7"/>
  <c r="L1103" i="7"/>
  <c r="M1103" i="7"/>
  <c r="N1103" i="7"/>
  <c r="O1103" i="7"/>
  <c r="P1103" i="7"/>
  <c r="Q1103" i="7"/>
  <c r="R1103" i="7"/>
  <c r="S1103" i="7"/>
  <c r="T1103" i="7"/>
  <c r="U1103" i="7"/>
  <c r="V1103" i="7"/>
  <c r="W1103" i="7"/>
  <c r="X1103" i="7"/>
  <c r="Y1103" i="7"/>
  <c r="Z1103" i="7"/>
  <c r="AA1103" i="7"/>
  <c r="AB1103" i="7"/>
  <c r="AC1103" i="7"/>
  <c r="AD1103" i="7"/>
  <c r="AE1103" i="7"/>
  <c r="E1105" i="7"/>
  <c r="F1105" i="7"/>
  <c r="G1105" i="7"/>
  <c r="H1105" i="7"/>
  <c r="I1105" i="7"/>
  <c r="J1105" i="7"/>
  <c r="K1105" i="7"/>
  <c r="L1105" i="7"/>
  <c r="M1105" i="7"/>
  <c r="N1105" i="7"/>
  <c r="O1105" i="7"/>
  <c r="P1105" i="7"/>
  <c r="Q1105" i="7"/>
  <c r="R1105" i="7"/>
  <c r="S1105" i="7"/>
  <c r="T1105" i="7"/>
  <c r="U1105" i="7"/>
  <c r="V1105" i="7"/>
  <c r="W1105" i="7"/>
  <c r="X1105" i="7"/>
  <c r="Y1105" i="7"/>
  <c r="Z1105" i="7"/>
  <c r="AA1105" i="7"/>
  <c r="AB1105" i="7"/>
  <c r="AC1105" i="7"/>
  <c r="AD1105" i="7"/>
  <c r="AE1105" i="7"/>
  <c r="E1109" i="7"/>
  <c r="F1109" i="7"/>
  <c r="G1109" i="7"/>
  <c r="H1109" i="7"/>
  <c r="I1109" i="7"/>
  <c r="J1109" i="7"/>
  <c r="K1109" i="7"/>
  <c r="L1109" i="7"/>
  <c r="M1109" i="7"/>
  <c r="N1109" i="7"/>
  <c r="O1109" i="7"/>
  <c r="P1109" i="7"/>
  <c r="Q1109" i="7"/>
  <c r="R1109" i="7"/>
  <c r="S1109" i="7"/>
  <c r="T1109" i="7"/>
  <c r="U1109" i="7"/>
  <c r="V1109" i="7"/>
  <c r="W1109" i="7"/>
  <c r="X1109" i="7"/>
  <c r="Y1109" i="7"/>
  <c r="Z1109" i="7"/>
  <c r="AA1109" i="7"/>
  <c r="AB1109" i="7"/>
  <c r="AC1109" i="7"/>
  <c r="AD1109" i="7"/>
  <c r="AE1109" i="7"/>
  <c r="E1111" i="7"/>
  <c r="F1111" i="7"/>
  <c r="G1111" i="7"/>
  <c r="H1111" i="7"/>
  <c r="I1111" i="7"/>
  <c r="J1111" i="7"/>
  <c r="K1111" i="7"/>
  <c r="L1111" i="7"/>
  <c r="M1111" i="7"/>
  <c r="N1111" i="7"/>
  <c r="O1111" i="7"/>
  <c r="P1111" i="7"/>
  <c r="Q1111" i="7"/>
  <c r="R1111" i="7"/>
  <c r="S1111" i="7"/>
  <c r="T1111" i="7"/>
  <c r="U1111" i="7"/>
  <c r="V1111" i="7"/>
  <c r="W1111" i="7"/>
  <c r="X1111" i="7"/>
  <c r="Y1111" i="7"/>
  <c r="Z1111" i="7"/>
  <c r="AA1111" i="7"/>
  <c r="AB1111" i="7"/>
  <c r="AC1111" i="7"/>
  <c r="AD1111" i="7"/>
  <c r="AE1111" i="7"/>
  <c r="E1113" i="7"/>
  <c r="F1113" i="7"/>
  <c r="G1113" i="7"/>
  <c r="H1113" i="7"/>
  <c r="I1113" i="7"/>
  <c r="J1113" i="7"/>
  <c r="K1113" i="7"/>
  <c r="L1113" i="7"/>
  <c r="M1113" i="7"/>
  <c r="N1113" i="7"/>
  <c r="O1113" i="7"/>
  <c r="P1113" i="7"/>
  <c r="Q1113" i="7"/>
  <c r="R1113" i="7"/>
  <c r="S1113" i="7"/>
  <c r="T1113" i="7"/>
  <c r="U1113" i="7"/>
  <c r="V1113" i="7"/>
  <c r="W1113" i="7"/>
  <c r="X1113" i="7"/>
  <c r="Y1113" i="7"/>
  <c r="Z1113" i="7"/>
  <c r="AA1113" i="7"/>
  <c r="AB1113" i="7"/>
  <c r="AC1113" i="7"/>
  <c r="AD1113" i="7"/>
  <c r="AE1113" i="7"/>
  <c r="E1115" i="7"/>
  <c r="F1115" i="7"/>
  <c r="G1115" i="7"/>
  <c r="H1115" i="7"/>
  <c r="I1115" i="7"/>
  <c r="J1115" i="7"/>
  <c r="K1115" i="7"/>
  <c r="L1115" i="7"/>
  <c r="M1115" i="7"/>
  <c r="N1115" i="7"/>
  <c r="O1115" i="7"/>
  <c r="P1115" i="7"/>
  <c r="Q1115" i="7"/>
  <c r="R1115" i="7"/>
  <c r="S1115" i="7"/>
  <c r="T1115" i="7"/>
  <c r="U1115" i="7"/>
  <c r="V1115" i="7"/>
  <c r="W1115" i="7"/>
  <c r="X1115" i="7"/>
  <c r="Y1115" i="7"/>
  <c r="Z1115" i="7"/>
  <c r="AA1115" i="7"/>
  <c r="AB1115" i="7"/>
  <c r="AC1115" i="7"/>
  <c r="AD1115" i="7"/>
  <c r="AE1115" i="7"/>
  <c r="E1119" i="7"/>
  <c r="F1119" i="7"/>
  <c r="G1119" i="7"/>
  <c r="H1119" i="7"/>
  <c r="I1119" i="7"/>
  <c r="J1119" i="7"/>
  <c r="K1119" i="7"/>
  <c r="L1119" i="7"/>
  <c r="M1119" i="7"/>
  <c r="N1119" i="7"/>
  <c r="O1119" i="7"/>
  <c r="P1119" i="7"/>
  <c r="Q1119" i="7"/>
  <c r="R1119" i="7"/>
  <c r="S1119" i="7"/>
  <c r="T1119" i="7"/>
  <c r="U1119" i="7"/>
  <c r="V1119" i="7"/>
  <c r="W1119" i="7"/>
  <c r="X1119" i="7"/>
  <c r="Y1119" i="7"/>
  <c r="Z1119" i="7"/>
  <c r="AA1119" i="7"/>
  <c r="AB1119" i="7"/>
  <c r="AC1119" i="7"/>
  <c r="AD1119" i="7"/>
  <c r="AE1119" i="7"/>
  <c r="E1121" i="7"/>
  <c r="F1121" i="7"/>
  <c r="G1121" i="7"/>
  <c r="H1121" i="7"/>
  <c r="I1121" i="7"/>
  <c r="J1121" i="7"/>
  <c r="K1121" i="7"/>
  <c r="L1121" i="7"/>
  <c r="M1121" i="7"/>
  <c r="N1121" i="7"/>
  <c r="O1121" i="7"/>
  <c r="P1121" i="7"/>
  <c r="Q1121" i="7"/>
  <c r="R1121" i="7"/>
  <c r="S1121" i="7"/>
  <c r="T1121" i="7"/>
  <c r="U1121" i="7"/>
  <c r="V1121" i="7"/>
  <c r="W1121" i="7"/>
  <c r="X1121" i="7"/>
  <c r="Y1121" i="7"/>
  <c r="Z1121" i="7"/>
  <c r="AA1121" i="7"/>
  <c r="AB1121" i="7"/>
  <c r="AC1121" i="7"/>
  <c r="AD1121" i="7"/>
  <c r="AE1121" i="7"/>
  <c r="E1123" i="7"/>
  <c r="F1123" i="7"/>
  <c r="G1123" i="7"/>
  <c r="H1123" i="7"/>
  <c r="I1123" i="7"/>
  <c r="J1123" i="7"/>
  <c r="K1123" i="7"/>
  <c r="L1123" i="7"/>
  <c r="M1123" i="7"/>
  <c r="N1123" i="7"/>
  <c r="O1123" i="7"/>
  <c r="P1123" i="7"/>
  <c r="Q1123" i="7"/>
  <c r="R1123" i="7"/>
  <c r="S1123" i="7"/>
  <c r="T1123" i="7"/>
  <c r="U1123" i="7"/>
  <c r="V1123" i="7"/>
  <c r="W1123" i="7"/>
  <c r="X1123" i="7"/>
  <c r="Y1123" i="7"/>
  <c r="Z1123" i="7"/>
  <c r="AA1123" i="7"/>
  <c r="AB1123" i="7"/>
  <c r="AC1123" i="7"/>
  <c r="AD1123" i="7"/>
  <c r="AE1123" i="7"/>
  <c r="E1125" i="7"/>
  <c r="F1125" i="7"/>
  <c r="G1125" i="7"/>
  <c r="H1125" i="7"/>
  <c r="I1125" i="7"/>
  <c r="J1125" i="7"/>
  <c r="K1125" i="7"/>
  <c r="L1125" i="7"/>
  <c r="M1125" i="7"/>
  <c r="N1125" i="7"/>
  <c r="O1125" i="7"/>
  <c r="P1125" i="7"/>
  <c r="Q1125" i="7"/>
  <c r="R1125" i="7"/>
  <c r="S1125" i="7"/>
  <c r="T1125" i="7"/>
  <c r="U1125" i="7"/>
  <c r="V1125" i="7"/>
  <c r="W1125" i="7"/>
  <c r="X1125" i="7"/>
  <c r="Y1125" i="7"/>
  <c r="Z1125" i="7"/>
  <c r="AA1125" i="7"/>
  <c r="AB1125" i="7"/>
  <c r="AC1125" i="7"/>
  <c r="AD1125" i="7"/>
  <c r="AE1125" i="7"/>
  <c r="E1128" i="7"/>
  <c r="F1128" i="7"/>
  <c r="G1128" i="7"/>
  <c r="H1128" i="7"/>
  <c r="I1128" i="7"/>
  <c r="J1128" i="7"/>
  <c r="K1128" i="7"/>
  <c r="L1128" i="7"/>
  <c r="M1128" i="7"/>
  <c r="N1128" i="7"/>
  <c r="O1128" i="7"/>
  <c r="P1128" i="7"/>
  <c r="Q1128" i="7"/>
  <c r="R1128" i="7"/>
  <c r="S1128" i="7"/>
  <c r="T1128" i="7"/>
  <c r="U1128" i="7"/>
  <c r="V1128" i="7"/>
  <c r="W1128" i="7"/>
  <c r="X1128" i="7"/>
  <c r="Y1128" i="7"/>
  <c r="Z1128" i="7"/>
  <c r="AA1128" i="7"/>
  <c r="AB1128" i="7"/>
  <c r="AC1128" i="7"/>
  <c r="AD1128" i="7"/>
  <c r="AE1128" i="7"/>
  <c r="E1131" i="7"/>
  <c r="F1131" i="7"/>
  <c r="G1131" i="7"/>
  <c r="H1131" i="7"/>
  <c r="I1131" i="7"/>
  <c r="J1131" i="7"/>
  <c r="K1131" i="7"/>
  <c r="L1131" i="7"/>
  <c r="M1131" i="7"/>
  <c r="N1131" i="7"/>
  <c r="O1131" i="7"/>
  <c r="P1131" i="7"/>
  <c r="Q1131" i="7"/>
  <c r="R1131" i="7"/>
  <c r="S1131" i="7"/>
  <c r="T1131" i="7"/>
  <c r="U1131" i="7"/>
  <c r="V1131" i="7"/>
  <c r="W1131" i="7"/>
  <c r="X1131" i="7"/>
  <c r="Y1131" i="7"/>
  <c r="Z1131" i="7"/>
  <c r="AA1131" i="7"/>
  <c r="AB1131" i="7"/>
  <c r="AC1131" i="7"/>
  <c r="AD1131" i="7"/>
  <c r="AE1131" i="7"/>
  <c r="E1140" i="7"/>
  <c r="F1140" i="7"/>
  <c r="G1140" i="7"/>
  <c r="H1140" i="7"/>
  <c r="I1140" i="7"/>
  <c r="J1140" i="7"/>
  <c r="K1140" i="7"/>
  <c r="L1140" i="7"/>
  <c r="M1140" i="7"/>
  <c r="N1140" i="7"/>
  <c r="O1140" i="7"/>
  <c r="P1140" i="7"/>
  <c r="Q1140" i="7"/>
  <c r="R1140" i="7"/>
  <c r="S1140" i="7"/>
  <c r="T1140" i="7"/>
  <c r="U1140" i="7"/>
  <c r="V1140" i="7"/>
  <c r="W1140" i="7"/>
  <c r="X1140" i="7"/>
  <c r="Y1140" i="7"/>
  <c r="Z1140" i="7"/>
  <c r="AA1140" i="7"/>
  <c r="AB1140" i="7"/>
  <c r="AC1140" i="7"/>
  <c r="AD1140" i="7"/>
  <c r="AE1140" i="7"/>
  <c r="E1143" i="7"/>
  <c r="F1143" i="7"/>
  <c r="G1143" i="7"/>
  <c r="H1143" i="7"/>
  <c r="I1143" i="7"/>
  <c r="J1143" i="7"/>
  <c r="K1143" i="7"/>
  <c r="L1143" i="7"/>
  <c r="M1143" i="7"/>
  <c r="N1143" i="7"/>
  <c r="O1143" i="7"/>
  <c r="P1143" i="7"/>
  <c r="Q1143" i="7"/>
  <c r="R1143" i="7"/>
  <c r="S1143" i="7"/>
  <c r="T1143" i="7"/>
  <c r="U1143" i="7"/>
  <c r="V1143" i="7"/>
  <c r="W1143" i="7"/>
  <c r="X1143" i="7"/>
  <c r="Y1143" i="7"/>
  <c r="Z1143" i="7"/>
  <c r="AA1143" i="7"/>
  <c r="AB1143" i="7"/>
  <c r="AC1143" i="7"/>
  <c r="AD1143" i="7"/>
  <c r="AE1143" i="7"/>
  <c r="E1145" i="7"/>
  <c r="F1145" i="7"/>
  <c r="G1145" i="7"/>
  <c r="H1145" i="7"/>
  <c r="I1145" i="7"/>
  <c r="J1145" i="7"/>
  <c r="K1145" i="7"/>
  <c r="L1145" i="7"/>
  <c r="M1145" i="7"/>
  <c r="N1145" i="7"/>
  <c r="O1145" i="7"/>
  <c r="P1145" i="7"/>
  <c r="Q1145" i="7"/>
  <c r="R1145" i="7"/>
  <c r="S1145" i="7"/>
  <c r="T1145" i="7"/>
  <c r="U1145" i="7"/>
  <c r="V1145" i="7"/>
  <c r="W1145" i="7"/>
  <c r="X1145" i="7"/>
  <c r="Y1145" i="7"/>
  <c r="Z1145" i="7"/>
  <c r="AA1145" i="7"/>
  <c r="AB1145" i="7"/>
  <c r="AC1145" i="7"/>
  <c r="AD1145" i="7"/>
  <c r="AE1145" i="7"/>
  <c r="E1147" i="7"/>
  <c r="F1147" i="7"/>
  <c r="G1147" i="7"/>
  <c r="H1147" i="7"/>
  <c r="I1147" i="7"/>
  <c r="J1147" i="7"/>
  <c r="K1147" i="7"/>
  <c r="L1147" i="7"/>
  <c r="M1147" i="7"/>
  <c r="N1147" i="7"/>
  <c r="O1147" i="7"/>
  <c r="P1147" i="7"/>
  <c r="Q1147" i="7"/>
  <c r="R1147" i="7"/>
  <c r="S1147" i="7"/>
  <c r="T1147" i="7"/>
  <c r="U1147" i="7"/>
  <c r="V1147" i="7"/>
  <c r="W1147" i="7"/>
  <c r="X1147" i="7"/>
  <c r="Y1147" i="7"/>
  <c r="Z1147" i="7"/>
  <c r="AA1147" i="7"/>
  <c r="AB1147" i="7"/>
  <c r="AC1147" i="7"/>
  <c r="AD1147" i="7"/>
  <c r="AE1147" i="7"/>
  <c r="E1150" i="7"/>
  <c r="F1150" i="7"/>
  <c r="G1150" i="7"/>
  <c r="H1150" i="7"/>
  <c r="I1150" i="7"/>
  <c r="J1150" i="7"/>
  <c r="K1150" i="7"/>
  <c r="L1150" i="7"/>
  <c r="M1150" i="7"/>
  <c r="N1150" i="7"/>
  <c r="O1150" i="7"/>
  <c r="P1150" i="7"/>
  <c r="Q1150" i="7"/>
  <c r="R1150" i="7"/>
  <c r="S1150" i="7"/>
  <c r="T1150" i="7"/>
  <c r="U1150" i="7"/>
  <c r="V1150" i="7"/>
  <c r="W1150" i="7"/>
  <c r="X1150" i="7"/>
  <c r="Y1150" i="7"/>
  <c r="Z1150" i="7"/>
  <c r="AA1150" i="7"/>
  <c r="AB1150" i="7"/>
  <c r="AC1150" i="7"/>
  <c r="AD1150" i="7"/>
  <c r="AE1150" i="7"/>
  <c r="E1154" i="7"/>
  <c r="F1154" i="7"/>
  <c r="G1154" i="7"/>
  <c r="H1154" i="7"/>
  <c r="I1154" i="7"/>
  <c r="J1154" i="7"/>
  <c r="K1154" i="7"/>
  <c r="L1154" i="7"/>
  <c r="M1154" i="7"/>
  <c r="N1154" i="7"/>
  <c r="O1154" i="7"/>
  <c r="P1154" i="7"/>
  <c r="Q1154" i="7"/>
  <c r="R1154" i="7"/>
  <c r="S1154" i="7"/>
  <c r="T1154" i="7"/>
  <c r="U1154" i="7"/>
  <c r="V1154" i="7"/>
  <c r="W1154" i="7"/>
  <c r="X1154" i="7"/>
  <c r="Y1154" i="7"/>
  <c r="Z1154" i="7"/>
  <c r="AA1154" i="7"/>
  <c r="AB1154" i="7"/>
  <c r="AC1154" i="7"/>
  <c r="AD1154" i="7"/>
  <c r="AE1154" i="7"/>
  <c r="E1156" i="7"/>
  <c r="F1156" i="7"/>
  <c r="G1156" i="7"/>
  <c r="H1156" i="7"/>
  <c r="I1156" i="7"/>
  <c r="J1156" i="7"/>
  <c r="K1156" i="7"/>
  <c r="L1156" i="7"/>
  <c r="M1156" i="7"/>
  <c r="N1156" i="7"/>
  <c r="O1156" i="7"/>
  <c r="P1156" i="7"/>
  <c r="Q1156" i="7"/>
  <c r="R1156" i="7"/>
  <c r="S1156" i="7"/>
  <c r="T1156" i="7"/>
  <c r="U1156" i="7"/>
  <c r="V1156" i="7"/>
  <c r="W1156" i="7"/>
  <c r="X1156" i="7"/>
  <c r="Y1156" i="7"/>
  <c r="Z1156" i="7"/>
  <c r="AA1156" i="7"/>
  <c r="AB1156" i="7"/>
  <c r="AC1156" i="7"/>
  <c r="AD1156" i="7"/>
  <c r="AE1156" i="7"/>
  <c r="E1158" i="7"/>
  <c r="F1158" i="7"/>
  <c r="G1158" i="7"/>
  <c r="H1158" i="7"/>
  <c r="I1158" i="7"/>
  <c r="J1158" i="7"/>
  <c r="K1158" i="7"/>
  <c r="L1158" i="7"/>
  <c r="M1158" i="7"/>
  <c r="N1158" i="7"/>
  <c r="O1158" i="7"/>
  <c r="P1158" i="7"/>
  <c r="Q1158" i="7"/>
  <c r="R1158" i="7"/>
  <c r="S1158" i="7"/>
  <c r="T1158" i="7"/>
  <c r="U1158" i="7"/>
  <c r="V1158" i="7"/>
  <c r="W1158" i="7"/>
  <c r="X1158" i="7"/>
  <c r="Y1158" i="7"/>
  <c r="Z1158" i="7"/>
  <c r="AA1158" i="7"/>
  <c r="AB1158" i="7"/>
  <c r="AC1158" i="7"/>
  <c r="AD1158" i="7"/>
  <c r="AE1158" i="7"/>
  <c r="E1160" i="7"/>
  <c r="F1160" i="7"/>
  <c r="G1160" i="7"/>
  <c r="H1160" i="7"/>
  <c r="I1160" i="7"/>
  <c r="J1160" i="7"/>
  <c r="K1160" i="7"/>
  <c r="L1160" i="7"/>
  <c r="M1160" i="7"/>
  <c r="N1160" i="7"/>
  <c r="O1160" i="7"/>
  <c r="P1160" i="7"/>
  <c r="Q1160" i="7"/>
  <c r="R1160" i="7"/>
  <c r="S1160" i="7"/>
  <c r="T1160" i="7"/>
  <c r="U1160" i="7"/>
  <c r="V1160" i="7"/>
  <c r="W1160" i="7"/>
  <c r="X1160" i="7"/>
  <c r="Y1160" i="7"/>
  <c r="Z1160" i="7"/>
  <c r="AA1160" i="7"/>
  <c r="AB1160" i="7"/>
  <c r="AC1160" i="7"/>
  <c r="AD1160" i="7"/>
  <c r="AE1160" i="7"/>
  <c r="E1164" i="7"/>
  <c r="F1164" i="7"/>
  <c r="G1164" i="7"/>
  <c r="H1164" i="7"/>
  <c r="I1164" i="7"/>
  <c r="J1164" i="7"/>
  <c r="K1164" i="7"/>
  <c r="L1164" i="7"/>
  <c r="M1164" i="7"/>
  <c r="N1164" i="7"/>
  <c r="O1164" i="7"/>
  <c r="P1164" i="7"/>
  <c r="Q1164" i="7"/>
  <c r="R1164" i="7"/>
  <c r="S1164" i="7"/>
  <c r="T1164" i="7"/>
  <c r="U1164" i="7"/>
  <c r="V1164" i="7"/>
  <c r="W1164" i="7"/>
  <c r="X1164" i="7"/>
  <c r="Y1164" i="7"/>
  <c r="Z1164" i="7"/>
  <c r="AA1164" i="7"/>
  <c r="AB1164" i="7"/>
  <c r="AC1164" i="7"/>
  <c r="AD1164" i="7"/>
  <c r="AE1164" i="7"/>
  <c r="E895" i="7"/>
  <c r="F895" i="7"/>
  <c r="G895" i="7"/>
  <c r="H895" i="7"/>
  <c r="I895" i="7"/>
  <c r="J895" i="7"/>
  <c r="K895" i="7"/>
  <c r="L895" i="7"/>
  <c r="M895" i="7"/>
  <c r="N895" i="7"/>
  <c r="O895" i="7"/>
  <c r="P895" i="7"/>
  <c r="Q895" i="7"/>
  <c r="R895" i="7"/>
  <c r="S895" i="7"/>
  <c r="T895" i="7"/>
  <c r="U895" i="7"/>
  <c r="V895" i="7"/>
  <c r="W895" i="7"/>
  <c r="X895" i="7"/>
  <c r="Y895" i="7"/>
  <c r="Z895" i="7"/>
  <c r="AA895" i="7"/>
  <c r="AB895" i="7"/>
  <c r="AC895" i="7"/>
  <c r="AD895" i="7"/>
  <c r="AE895" i="7"/>
  <c r="E892" i="7"/>
  <c r="F892" i="7"/>
  <c r="G892" i="7"/>
  <c r="H892" i="7"/>
  <c r="I892" i="7"/>
  <c r="J892" i="7"/>
  <c r="K892" i="7"/>
  <c r="L892" i="7"/>
  <c r="M892" i="7"/>
  <c r="N892" i="7"/>
  <c r="O892" i="7"/>
  <c r="P892" i="7"/>
  <c r="Q892" i="7"/>
  <c r="R892" i="7"/>
  <c r="S892" i="7"/>
  <c r="T892" i="7"/>
  <c r="U892" i="7"/>
  <c r="V892" i="7"/>
  <c r="W892" i="7"/>
  <c r="X892" i="7"/>
  <c r="Y892" i="7"/>
  <c r="Z892" i="7"/>
  <c r="AA892" i="7"/>
  <c r="AB892" i="7"/>
  <c r="AC892" i="7"/>
  <c r="AD892" i="7"/>
  <c r="AE892" i="7"/>
  <c r="AE890" i="7"/>
  <c r="E890" i="7"/>
  <c r="F890" i="7"/>
  <c r="G890" i="7"/>
  <c r="H890" i="7"/>
  <c r="I890" i="7"/>
  <c r="J890" i="7"/>
  <c r="K890" i="7"/>
  <c r="L890" i="7"/>
  <c r="M890" i="7"/>
  <c r="N890" i="7"/>
  <c r="O890" i="7"/>
  <c r="P890" i="7"/>
  <c r="Q890" i="7"/>
  <c r="R890" i="7"/>
  <c r="S890" i="7"/>
  <c r="T890" i="7"/>
  <c r="U890" i="7"/>
  <c r="V890" i="7"/>
  <c r="W890" i="7"/>
  <c r="X890" i="7"/>
  <c r="Y890" i="7"/>
  <c r="Z890" i="7"/>
  <c r="AA890" i="7"/>
  <c r="AB890" i="7"/>
  <c r="AC890" i="7"/>
  <c r="AD890" i="7"/>
  <c r="E887" i="7"/>
  <c r="F887" i="7"/>
  <c r="G887" i="7"/>
  <c r="H887" i="7"/>
  <c r="I887" i="7"/>
  <c r="J887" i="7"/>
  <c r="K887" i="7"/>
  <c r="L887" i="7"/>
  <c r="M887" i="7"/>
  <c r="N887" i="7"/>
  <c r="O887" i="7"/>
  <c r="P887" i="7"/>
  <c r="Q887" i="7"/>
  <c r="R887" i="7"/>
  <c r="S887" i="7"/>
  <c r="T887" i="7"/>
  <c r="U887" i="7"/>
  <c r="V887" i="7"/>
  <c r="W887" i="7"/>
  <c r="X887" i="7"/>
  <c r="Y887" i="7"/>
  <c r="Z887" i="7"/>
  <c r="AA887" i="7"/>
  <c r="AB887" i="7"/>
  <c r="AC887" i="7"/>
  <c r="AD887" i="7"/>
  <c r="AE887" i="7"/>
  <c r="E885" i="7"/>
  <c r="F885" i="7"/>
  <c r="G885" i="7"/>
  <c r="H885" i="7"/>
  <c r="I885" i="7"/>
  <c r="J885" i="7"/>
  <c r="K885" i="7"/>
  <c r="L885" i="7"/>
  <c r="M885" i="7"/>
  <c r="N885" i="7"/>
  <c r="O885" i="7"/>
  <c r="P885" i="7"/>
  <c r="Q885" i="7"/>
  <c r="R885" i="7"/>
  <c r="S885" i="7"/>
  <c r="T885" i="7"/>
  <c r="U885" i="7"/>
  <c r="V885" i="7"/>
  <c r="W885" i="7"/>
  <c r="X885" i="7"/>
  <c r="Y885" i="7"/>
  <c r="Z885" i="7"/>
  <c r="AA885" i="7"/>
  <c r="AB885" i="7"/>
  <c r="AC885" i="7"/>
  <c r="AD885" i="7"/>
  <c r="AE885" i="7"/>
  <c r="E881" i="7"/>
  <c r="F881" i="7"/>
  <c r="G881" i="7"/>
  <c r="H881" i="7"/>
  <c r="I881" i="7"/>
  <c r="J881" i="7"/>
  <c r="K881" i="7"/>
  <c r="L881" i="7"/>
  <c r="M881" i="7"/>
  <c r="N881" i="7"/>
  <c r="O881" i="7"/>
  <c r="P881" i="7"/>
  <c r="Q881" i="7"/>
  <c r="R881" i="7"/>
  <c r="S881" i="7"/>
  <c r="T881" i="7"/>
  <c r="U881" i="7"/>
  <c r="V881" i="7"/>
  <c r="W881" i="7"/>
  <c r="X881" i="7"/>
  <c r="Y881" i="7"/>
  <c r="Z881" i="7"/>
  <c r="AA881" i="7"/>
  <c r="AB881" i="7"/>
  <c r="AC881" i="7"/>
  <c r="AD881" i="7"/>
  <c r="AE881" i="7"/>
  <c r="E879" i="7"/>
  <c r="F879" i="7"/>
  <c r="G879" i="7"/>
  <c r="H879" i="7"/>
  <c r="I879" i="7"/>
  <c r="J879" i="7"/>
  <c r="K879" i="7"/>
  <c r="L879" i="7"/>
  <c r="M879" i="7"/>
  <c r="N879" i="7"/>
  <c r="O879" i="7"/>
  <c r="P879" i="7"/>
  <c r="Q879" i="7"/>
  <c r="R879" i="7"/>
  <c r="S879" i="7"/>
  <c r="T879" i="7"/>
  <c r="U879" i="7"/>
  <c r="V879" i="7"/>
  <c r="W879" i="7"/>
  <c r="X879" i="7"/>
  <c r="Y879" i="7"/>
  <c r="Z879" i="7"/>
  <c r="AA879" i="7"/>
  <c r="AB879" i="7"/>
  <c r="AC879" i="7"/>
  <c r="AD879" i="7"/>
  <c r="AE879" i="7"/>
  <c r="E877" i="7"/>
  <c r="F877" i="7"/>
  <c r="G877" i="7"/>
  <c r="H877" i="7"/>
  <c r="I877" i="7"/>
  <c r="J877" i="7"/>
  <c r="K877" i="7"/>
  <c r="L877" i="7"/>
  <c r="M877" i="7"/>
  <c r="N877" i="7"/>
  <c r="O877" i="7"/>
  <c r="P877" i="7"/>
  <c r="Q877" i="7"/>
  <c r="R877" i="7"/>
  <c r="S877" i="7"/>
  <c r="T877" i="7"/>
  <c r="U877" i="7"/>
  <c r="V877" i="7"/>
  <c r="W877" i="7"/>
  <c r="X877" i="7"/>
  <c r="Y877" i="7"/>
  <c r="Z877" i="7"/>
  <c r="AA877" i="7"/>
  <c r="AB877" i="7"/>
  <c r="AC877" i="7"/>
  <c r="AD877" i="7"/>
  <c r="AE877" i="7"/>
  <c r="E875" i="7"/>
  <c r="F875" i="7"/>
  <c r="G875" i="7"/>
  <c r="H875" i="7"/>
  <c r="I875" i="7"/>
  <c r="J875" i="7"/>
  <c r="K875" i="7"/>
  <c r="L875" i="7"/>
  <c r="M875" i="7"/>
  <c r="N875" i="7"/>
  <c r="O875" i="7"/>
  <c r="P875" i="7"/>
  <c r="Q875" i="7"/>
  <c r="R875" i="7"/>
  <c r="S875" i="7"/>
  <c r="T875" i="7"/>
  <c r="U875" i="7"/>
  <c r="V875" i="7"/>
  <c r="W875" i="7"/>
  <c r="X875" i="7"/>
  <c r="Y875" i="7"/>
  <c r="Z875" i="7"/>
  <c r="AA875" i="7"/>
  <c r="AB875" i="7"/>
  <c r="AC875" i="7"/>
  <c r="AD875" i="7"/>
  <c r="AE875" i="7"/>
  <c r="E872" i="7"/>
  <c r="F872" i="7"/>
  <c r="G872" i="7"/>
  <c r="H872" i="7"/>
  <c r="I872" i="7"/>
  <c r="J872" i="7"/>
  <c r="K872" i="7"/>
  <c r="L872" i="7"/>
  <c r="M872" i="7"/>
  <c r="N872" i="7"/>
  <c r="O872" i="7"/>
  <c r="P872" i="7"/>
  <c r="Q872" i="7"/>
  <c r="R872" i="7"/>
  <c r="S872" i="7"/>
  <c r="T872" i="7"/>
  <c r="U872" i="7"/>
  <c r="V872" i="7"/>
  <c r="W872" i="7"/>
  <c r="X872" i="7"/>
  <c r="Y872" i="7"/>
  <c r="Z872" i="7"/>
  <c r="AA872" i="7"/>
  <c r="AB872" i="7"/>
  <c r="AC872" i="7"/>
  <c r="AD872" i="7"/>
  <c r="AE872" i="7"/>
  <c r="E864" i="7"/>
  <c r="F864" i="7"/>
  <c r="G864" i="7"/>
  <c r="H864" i="7"/>
  <c r="I864" i="7"/>
  <c r="J864" i="7"/>
  <c r="K864" i="7"/>
  <c r="L864" i="7"/>
  <c r="M864" i="7"/>
  <c r="N864" i="7"/>
  <c r="O864" i="7"/>
  <c r="P864" i="7"/>
  <c r="Q864" i="7"/>
  <c r="R864" i="7"/>
  <c r="S864" i="7"/>
  <c r="T864" i="7"/>
  <c r="U864" i="7"/>
  <c r="V864" i="7"/>
  <c r="W864" i="7"/>
  <c r="X864" i="7"/>
  <c r="Y864" i="7"/>
  <c r="Z864" i="7"/>
  <c r="AA864" i="7"/>
  <c r="AB864" i="7"/>
  <c r="AC864" i="7"/>
  <c r="AD864" i="7"/>
  <c r="AE864" i="7"/>
  <c r="E862" i="7"/>
  <c r="F862" i="7"/>
  <c r="G862" i="7"/>
  <c r="H862" i="7"/>
  <c r="I862" i="7"/>
  <c r="J862" i="7"/>
  <c r="K862" i="7"/>
  <c r="L862" i="7"/>
  <c r="M862" i="7"/>
  <c r="N862" i="7"/>
  <c r="O862" i="7"/>
  <c r="P862" i="7"/>
  <c r="Q862" i="7"/>
  <c r="R862" i="7"/>
  <c r="S862" i="7"/>
  <c r="T862" i="7"/>
  <c r="U862" i="7"/>
  <c r="V862" i="7"/>
  <c r="W862" i="7"/>
  <c r="X862" i="7"/>
  <c r="Y862" i="7"/>
  <c r="Z862" i="7"/>
  <c r="AA862" i="7"/>
  <c r="AB862" i="7"/>
  <c r="AC862" i="7"/>
  <c r="AD862" i="7"/>
  <c r="AE862" i="7"/>
  <c r="E860" i="7"/>
  <c r="F860" i="7"/>
  <c r="G860" i="7"/>
  <c r="H860" i="7"/>
  <c r="I860" i="7"/>
  <c r="J860" i="7"/>
  <c r="K860" i="7"/>
  <c r="L860" i="7"/>
  <c r="M860" i="7"/>
  <c r="N860" i="7"/>
  <c r="O860" i="7"/>
  <c r="P860" i="7"/>
  <c r="Q860" i="7"/>
  <c r="R860" i="7"/>
  <c r="S860" i="7"/>
  <c r="T860" i="7"/>
  <c r="U860" i="7"/>
  <c r="V860" i="7"/>
  <c r="W860" i="7"/>
  <c r="X860" i="7"/>
  <c r="Y860" i="7"/>
  <c r="Z860" i="7"/>
  <c r="AA860" i="7"/>
  <c r="AB860" i="7"/>
  <c r="AC860" i="7"/>
  <c r="AD860" i="7"/>
  <c r="AE860" i="7"/>
  <c r="E858" i="7"/>
  <c r="F858" i="7"/>
  <c r="G858" i="7"/>
  <c r="H858" i="7"/>
  <c r="I858" i="7"/>
  <c r="J858" i="7"/>
  <c r="K858" i="7"/>
  <c r="L858" i="7"/>
  <c r="M858" i="7"/>
  <c r="N858" i="7"/>
  <c r="O858" i="7"/>
  <c r="P858" i="7"/>
  <c r="Q858" i="7"/>
  <c r="R858" i="7"/>
  <c r="S858" i="7"/>
  <c r="T858" i="7"/>
  <c r="U858" i="7"/>
  <c r="V858" i="7"/>
  <c r="W858" i="7"/>
  <c r="X858" i="7"/>
  <c r="Y858" i="7"/>
  <c r="Z858" i="7"/>
  <c r="AA858" i="7"/>
  <c r="AB858" i="7"/>
  <c r="AC858" i="7"/>
  <c r="AD858" i="7"/>
  <c r="AE858" i="7"/>
  <c r="E856" i="7"/>
  <c r="F856" i="7"/>
  <c r="G856" i="7"/>
  <c r="H856" i="7"/>
  <c r="I856" i="7"/>
  <c r="J856" i="7"/>
  <c r="K856" i="7"/>
  <c r="L856" i="7"/>
  <c r="M856" i="7"/>
  <c r="N856" i="7"/>
  <c r="O856" i="7"/>
  <c r="P856" i="7"/>
  <c r="Q856" i="7"/>
  <c r="R856" i="7"/>
  <c r="S856" i="7"/>
  <c r="T856" i="7"/>
  <c r="U856" i="7"/>
  <c r="V856" i="7"/>
  <c r="W856" i="7"/>
  <c r="X856" i="7"/>
  <c r="Y856" i="7"/>
  <c r="Z856" i="7"/>
  <c r="AA856" i="7"/>
  <c r="AB856" i="7"/>
  <c r="AC856" i="7"/>
  <c r="AD856" i="7"/>
  <c r="AE856" i="7"/>
  <c r="E853" i="7"/>
  <c r="F853" i="7"/>
  <c r="G853" i="7"/>
  <c r="H853" i="7"/>
  <c r="I853" i="7"/>
  <c r="J853" i="7"/>
  <c r="K853" i="7"/>
  <c r="L853" i="7"/>
  <c r="M853" i="7"/>
  <c r="N853" i="7"/>
  <c r="O853" i="7"/>
  <c r="P853" i="7"/>
  <c r="Q853" i="7"/>
  <c r="R853" i="7"/>
  <c r="S853" i="7"/>
  <c r="T853" i="7"/>
  <c r="U853" i="7"/>
  <c r="V853" i="7"/>
  <c r="W853" i="7"/>
  <c r="X853" i="7"/>
  <c r="Y853" i="7"/>
  <c r="Z853" i="7"/>
  <c r="AA853" i="7"/>
  <c r="AB853" i="7"/>
  <c r="AC853" i="7"/>
  <c r="AD853" i="7"/>
  <c r="AE853" i="7"/>
  <c r="E847" i="7"/>
  <c r="F847" i="7"/>
  <c r="G847" i="7"/>
  <c r="H847" i="7"/>
  <c r="I847" i="7"/>
  <c r="J847" i="7"/>
  <c r="K847" i="7"/>
  <c r="L847" i="7"/>
  <c r="M847" i="7"/>
  <c r="N847" i="7"/>
  <c r="O847" i="7"/>
  <c r="P847" i="7"/>
  <c r="Q847" i="7"/>
  <c r="R847" i="7"/>
  <c r="S847" i="7"/>
  <c r="T847" i="7"/>
  <c r="U847" i="7"/>
  <c r="V847" i="7"/>
  <c r="W847" i="7"/>
  <c r="X847" i="7"/>
  <c r="Y847" i="7"/>
  <c r="Z847" i="7"/>
  <c r="AA847" i="7"/>
  <c r="AB847" i="7"/>
  <c r="AC847" i="7"/>
  <c r="AD847" i="7"/>
  <c r="AE847" i="7"/>
  <c r="E845" i="7"/>
  <c r="F845" i="7"/>
  <c r="G845" i="7"/>
  <c r="H845" i="7"/>
  <c r="I845" i="7"/>
  <c r="J845" i="7"/>
  <c r="K845" i="7"/>
  <c r="L845" i="7"/>
  <c r="M845" i="7"/>
  <c r="N845" i="7"/>
  <c r="O845" i="7"/>
  <c r="P845" i="7"/>
  <c r="Q845" i="7"/>
  <c r="R845" i="7"/>
  <c r="S845" i="7"/>
  <c r="T845" i="7"/>
  <c r="U845" i="7"/>
  <c r="V845" i="7"/>
  <c r="W845" i="7"/>
  <c r="X845" i="7"/>
  <c r="Y845" i="7"/>
  <c r="Z845" i="7"/>
  <c r="AA845" i="7"/>
  <c r="AB845" i="7"/>
  <c r="AC845" i="7"/>
  <c r="AD845" i="7"/>
  <c r="AE845" i="7"/>
  <c r="E843" i="7"/>
  <c r="F843" i="7"/>
  <c r="G843" i="7"/>
  <c r="H843" i="7"/>
  <c r="I843" i="7"/>
  <c r="J843" i="7"/>
  <c r="K843" i="7"/>
  <c r="L843" i="7"/>
  <c r="M843" i="7"/>
  <c r="N843" i="7"/>
  <c r="O843" i="7"/>
  <c r="P843" i="7"/>
  <c r="Q843" i="7"/>
  <c r="R843" i="7"/>
  <c r="S843" i="7"/>
  <c r="T843" i="7"/>
  <c r="U843" i="7"/>
  <c r="V843" i="7"/>
  <c r="W843" i="7"/>
  <c r="X843" i="7"/>
  <c r="Y843" i="7"/>
  <c r="Z843" i="7"/>
  <c r="AA843" i="7"/>
  <c r="AB843" i="7"/>
  <c r="AC843" i="7"/>
  <c r="AD843" i="7"/>
  <c r="AE843" i="7"/>
  <c r="E840" i="7"/>
  <c r="F840" i="7"/>
  <c r="G840" i="7"/>
  <c r="H840" i="7"/>
  <c r="I840" i="7"/>
  <c r="J840" i="7"/>
  <c r="K840" i="7"/>
  <c r="L840" i="7"/>
  <c r="M840" i="7"/>
  <c r="N840" i="7"/>
  <c r="O840" i="7"/>
  <c r="P840" i="7"/>
  <c r="Q840" i="7"/>
  <c r="R840" i="7"/>
  <c r="S840" i="7"/>
  <c r="T840" i="7"/>
  <c r="U840" i="7"/>
  <c r="V840" i="7"/>
  <c r="W840" i="7"/>
  <c r="X840" i="7"/>
  <c r="Y840" i="7"/>
  <c r="Z840" i="7"/>
  <c r="AA840" i="7"/>
  <c r="AB840" i="7"/>
  <c r="AC840" i="7"/>
  <c r="AD840" i="7"/>
  <c r="AE840" i="7"/>
  <c r="E838" i="7"/>
  <c r="F838" i="7"/>
  <c r="G838" i="7"/>
  <c r="H838" i="7"/>
  <c r="I838" i="7"/>
  <c r="J838" i="7"/>
  <c r="K838" i="7"/>
  <c r="L838" i="7"/>
  <c r="M838" i="7"/>
  <c r="N838" i="7"/>
  <c r="O838" i="7"/>
  <c r="P838" i="7"/>
  <c r="Q838" i="7"/>
  <c r="R838" i="7"/>
  <c r="S838" i="7"/>
  <c r="T838" i="7"/>
  <c r="U838" i="7"/>
  <c r="V838" i="7"/>
  <c r="W838" i="7"/>
  <c r="X838" i="7"/>
  <c r="Y838" i="7"/>
  <c r="Z838" i="7"/>
  <c r="AA838" i="7"/>
  <c r="AB838" i="7"/>
  <c r="AC838" i="7"/>
  <c r="AD838" i="7"/>
  <c r="AE838" i="7"/>
  <c r="E836" i="7"/>
  <c r="F836" i="7"/>
  <c r="G836" i="7"/>
  <c r="H836" i="7"/>
  <c r="I836" i="7"/>
  <c r="J836" i="7"/>
  <c r="K836" i="7"/>
  <c r="L836" i="7"/>
  <c r="M836" i="7"/>
  <c r="N836" i="7"/>
  <c r="O836" i="7"/>
  <c r="P836" i="7"/>
  <c r="Q836" i="7"/>
  <c r="R836" i="7"/>
  <c r="S836" i="7"/>
  <c r="T836" i="7"/>
  <c r="U836" i="7"/>
  <c r="V836" i="7"/>
  <c r="W836" i="7"/>
  <c r="X836" i="7"/>
  <c r="Y836" i="7"/>
  <c r="Z836" i="7"/>
  <c r="AA836" i="7"/>
  <c r="AB836" i="7"/>
  <c r="AC836" i="7"/>
  <c r="AD836" i="7"/>
  <c r="AE836" i="7"/>
  <c r="E834" i="7"/>
  <c r="F834" i="7"/>
  <c r="G834" i="7"/>
  <c r="H834" i="7"/>
  <c r="I834" i="7"/>
  <c r="J834" i="7"/>
  <c r="K834" i="7"/>
  <c r="L834" i="7"/>
  <c r="M834" i="7"/>
  <c r="N834" i="7"/>
  <c r="O834" i="7"/>
  <c r="P834" i="7"/>
  <c r="Q834" i="7"/>
  <c r="R834" i="7"/>
  <c r="S834" i="7"/>
  <c r="T834" i="7"/>
  <c r="U834" i="7"/>
  <c r="V834" i="7"/>
  <c r="W834" i="7"/>
  <c r="X834" i="7"/>
  <c r="Y834" i="7"/>
  <c r="Z834" i="7"/>
  <c r="AA834" i="7"/>
  <c r="AB834" i="7"/>
  <c r="AC834" i="7"/>
  <c r="AD834" i="7"/>
  <c r="AE834" i="7"/>
  <c r="E832" i="7"/>
  <c r="F832" i="7"/>
  <c r="G832" i="7"/>
  <c r="H832" i="7"/>
  <c r="I832" i="7"/>
  <c r="J832" i="7"/>
  <c r="K832" i="7"/>
  <c r="L832" i="7"/>
  <c r="M832" i="7"/>
  <c r="N832" i="7"/>
  <c r="O832" i="7"/>
  <c r="P832" i="7"/>
  <c r="Q832" i="7"/>
  <c r="R832" i="7"/>
  <c r="S832" i="7"/>
  <c r="T832" i="7"/>
  <c r="U832" i="7"/>
  <c r="V832" i="7"/>
  <c r="W832" i="7"/>
  <c r="X832" i="7"/>
  <c r="Y832" i="7"/>
  <c r="Z832" i="7"/>
  <c r="AA832" i="7"/>
  <c r="AB832" i="7"/>
  <c r="AC832" i="7"/>
  <c r="AD832" i="7"/>
  <c r="AE832" i="7"/>
  <c r="AE830" i="7"/>
  <c r="E830" i="7"/>
  <c r="F830" i="7"/>
  <c r="G830" i="7"/>
  <c r="H830" i="7"/>
  <c r="I830" i="7"/>
  <c r="J830" i="7"/>
  <c r="K830" i="7"/>
  <c r="L830" i="7"/>
  <c r="M830" i="7"/>
  <c r="N830" i="7"/>
  <c r="O830" i="7"/>
  <c r="P830" i="7"/>
  <c r="Q830" i="7"/>
  <c r="R830" i="7"/>
  <c r="S830" i="7"/>
  <c r="T830" i="7"/>
  <c r="U830" i="7"/>
  <c r="V830" i="7"/>
  <c r="W830" i="7"/>
  <c r="X830" i="7"/>
  <c r="Y830" i="7"/>
  <c r="Z830" i="7"/>
  <c r="AA830" i="7"/>
  <c r="AB830" i="7"/>
  <c r="AC830" i="7"/>
  <c r="AD830" i="7"/>
  <c r="E828" i="7"/>
  <c r="F828" i="7"/>
  <c r="G828" i="7"/>
  <c r="H828" i="7"/>
  <c r="I828" i="7"/>
  <c r="J828" i="7"/>
  <c r="K828" i="7"/>
  <c r="L828" i="7"/>
  <c r="M828" i="7"/>
  <c r="N828" i="7"/>
  <c r="O828" i="7"/>
  <c r="P828" i="7"/>
  <c r="Q828" i="7"/>
  <c r="R828" i="7"/>
  <c r="S828" i="7"/>
  <c r="T828" i="7"/>
  <c r="U828" i="7"/>
  <c r="V828" i="7"/>
  <c r="W828" i="7"/>
  <c r="X828" i="7"/>
  <c r="Y828" i="7"/>
  <c r="Z828" i="7"/>
  <c r="AA828" i="7"/>
  <c r="AB828" i="7"/>
  <c r="AC828" i="7"/>
  <c r="AD828" i="7"/>
  <c r="AE828" i="7"/>
  <c r="E826" i="7"/>
  <c r="F826" i="7"/>
  <c r="G826" i="7"/>
  <c r="H826" i="7"/>
  <c r="I826" i="7"/>
  <c r="J826" i="7"/>
  <c r="K826" i="7"/>
  <c r="L826" i="7"/>
  <c r="M826" i="7"/>
  <c r="N826" i="7"/>
  <c r="O826" i="7"/>
  <c r="P826" i="7"/>
  <c r="Q826" i="7"/>
  <c r="R826" i="7"/>
  <c r="S826" i="7"/>
  <c r="T826" i="7"/>
  <c r="U826" i="7"/>
  <c r="V826" i="7"/>
  <c r="W826" i="7"/>
  <c r="X826" i="7"/>
  <c r="Y826" i="7"/>
  <c r="Z826" i="7"/>
  <c r="AA826" i="7"/>
  <c r="AB826" i="7"/>
  <c r="AC826" i="7"/>
  <c r="AD826" i="7"/>
  <c r="AE826" i="7"/>
  <c r="E823" i="7"/>
  <c r="F823" i="7"/>
  <c r="G823" i="7"/>
  <c r="H823" i="7"/>
  <c r="I823" i="7"/>
  <c r="J823" i="7"/>
  <c r="K823" i="7"/>
  <c r="L823" i="7"/>
  <c r="M823" i="7"/>
  <c r="N823" i="7"/>
  <c r="O823" i="7"/>
  <c r="P823" i="7"/>
  <c r="Q823" i="7"/>
  <c r="R823" i="7"/>
  <c r="S823" i="7"/>
  <c r="T823" i="7"/>
  <c r="U823" i="7"/>
  <c r="V823" i="7"/>
  <c r="W823" i="7"/>
  <c r="X823" i="7"/>
  <c r="Y823" i="7"/>
  <c r="Z823" i="7"/>
  <c r="AA823" i="7"/>
  <c r="AB823" i="7"/>
  <c r="AC823" i="7"/>
  <c r="AD823" i="7"/>
  <c r="AE823" i="7"/>
  <c r="E818" i="7"/>
  <c r="F818" i="7"/>
  <c r="G818" i="7"/>
  <c r="H818" i="7"/>
  <c r="I818" i="7"/>
  <c r="J818" i="7"/>
  <c r="K818" i="7"/>
  <c r="L818" i="7"/>
  <c r="M818" i="7"/>
  <c r="N818" i="7"/>
  <c r="O818" i="7"/>
  <c r="P818" i="7"/>
  <c r="Q818" i="7"/>
  <c r="R818" i="7"/>
  <c r="S818" i="7"/>
  <c r="T818" i="7"/>
  <c r="U818" i="7"/>
  <c r="V818" i="7"/>
  <c r="W818" i="7"/>
  <c r="X818" i="7"/>
  <c r="Y818" i="7"/>
  <c r="Z818" i="7"/>
  <c r="AA818" i="7"/>
  <c r="AB818" i="7"/>
  <c r="AC818" i="7"/>
  <c r="AD818" i="7"/>
  <c r="AE818" i="7"/>
  <c r="E816" i="7"/>
  <c r="F816" i="7"/>
  <c r="G816" i="7"/>
  <c r="H816" i="7"/>
  <c r="I816" i="7"/>
  <c r="J816" i="7"/>
  <c r="K816" i="7"/>
  <c r="L816" i="7"/>
  <c r="M816" i="7"/>
  <c r="N816" i="7"/>
  <c r="O816" i="7"/>
  <c r="P816" i="7"/>
  <c r="Q816" i="7"/>
  <c r="R816" i="7"/>
  <c r="S816" i="7"/>
  <c r="T816" i="7"/>
  <c r="U816" i="7"/>
  <c r="V816" i="7"/>
  <c r="W816" i="7"/>
  <c r="X816" i="7"/>
  <c r="Y816" i="7"/>
  <c r="Z816" i="7"/>
  <c r="AA816" i="7"/>
  <c r="AB816" i="7"/>
  <c r="AC816" i="7"/>
  <c r="AD816" i="7"/>
  <c r="AE816" i="7"/>
  <c r="E814" i="7"/>
  <c r="F814" i="7"/>
  <c r="G814" i="7"/>
  <c r="H814" i="7"/>
  <c r="I814" i="7"/>
  <c r="J814" i="7"/>
  <c r="K814" i="7"/>
  <c r="L814" i="7"/>
  <c r="M814" i="7"/>
  <c r="N814" i="7"/>
  <c r="O814" i="7"/>
  <c r="P814" i="7"/>
  <c r="Q814" i="7"/>
  <c r="R814" i="7"/>
  <c r="S814" i="7"/>
  <c r="T814" i="7"/>
  <c r="U814" i="7"/>
  <c r="V814" i="7"/>
  <c r="W814" i="7"/>
  <c r="X814" i="7"/>
  <c r="Y814" i="7"/>
  <c r="Z814" i="7"/>
  <c r="AA814" i="7"/>
  <c r="AB814" i="7"/>
  <c r="AC814" i="7"/>
  <c r="AD814" i="7"/>
  <c r="AE814" i="7"/>
  <c r="D354" i="7" l="1"/>
  <c r="D403" i="7"/>
  <c r="D499" i="7"/>
  <c r="D303" i="7"/>
  <c r="D346" i="7"/>
  <c r="D380" i="7"/>
  <c r="CD380" i="7" s="1"/>
  <c r="D297" i="7"/>
  <c r="D339" i="7"/>
  <c r="D349" i="7"/>
  <c r="D383" i="7"/>
  <c r="D409" i="7"/>
  <c r="D483" i="7"/>
  <c r="CE483" i="7" s="1"/>
  <c r="D391" i="7"/>
  <c r="D414" i="7"/>
  <c r="D291" i="7"/>
  <c r="D512" i="7"/>
  <c r="D230" i="7"/>
  <c r="D288" i="7"/>
  <c r="D343" i="7"/>
  <c r="D385" i="7"/>
  <c r="CD385" i="7" s="1"/>
  <c r="D399" i="7"/>
  <c r="D411" i="7"/>
  <c r="D423" i="7"/>
  <c r="D431" i="7"/>
  <c r="D443" i="7"/>
  <c r="D519" i="7"/>
  <c r="D858" i="7"/>
  <c r="D1021" i="7"/>
  <c r="D1135" i="7"/>
  <c r="D868" i="7"/>
  <c r="D1095" i="7"/>
  <c r="D1066" i="7"/>
  <c r="D1164" i="7"/>
  <c r="D877" i="7"/>
  <c r="D1103" i="7"/>
  <c r="D834" i="7"/>
  <c r="D860" i="7"/>
  <c r="D1053" i="7"/>
  <c r="D1068" i="7"/>
  <c r="D816" i="7"/>
  <c r="D828" i="7"/>
  <c r="D836" i="7"/>
  <c r="D843" i="7"/>
  <c r="D862" i="7"/>
  <c r="D885" i="7"/>
  <c r="D892" i="7"/>
  <c r="D1038" i="7"/>
  <c r="D1055" i="7"/>
  <c r="D1099" i="7"/>
  <c r="D1113" i="7"/>
  <c r="D1119" i="7"/>
  <c r="D1154" i="7"/>
  <c r="D832" i="7"/>
  <c r="D1059" i="7"/>
  <c r="D1109" i="7"/>
  <c r="D1123" i="7"/>
  <c r="D1145" i="7"/>
  <c r="D1158" i="7"/>
  <c r="D814" i="7"/>
  <c r="D826" i="7"/>
  <c r="D879" i="7"/>
  <c r="D890" i="7"/>
  <c r="D1097" i="7"/>
  <c r="D1111" i="7"/>
  <c r="D830" i="7"/>
  <c r="D838" i="7"/>
  <c r="D845" i="7"/>
  <c r="D856" i="7"/>
  <c r="D875" i="7"/>
  <c r="D1033" i="7"/>
  <c r="D1040" i="7"/>
  <c r="D1057" i="7"/>
  <c r="D1064" i="7"/>
  <c r="D1087" i="7"/>
  <c r="D1093" i="7"/>
  <c r="D1101" i="7"/>
  <c r="D1121" i="7"/>
  <c r="D1143" i="7"/>
  <c r="D1156" i="7"/>
  <c r="D1050" i="7"/>
  <c r="D1128" i="7"/>
  <c r="D1035" i="7"/>
  <c r="D1077" i="7"/>
  <c r="D823" i="7"/>
  <c r="D1025" i="7"/>
  <c r="D881" i="7"/>
  <c r="D1080" i="7"/>
  <c r="D853" i="7"/>
  <c r="D872" i="7"/>
  <c r="D1061" i="7"/>
  <c r="D1084" i="7"/>
  <c r="D1089" i="7"/>
  <c r="D1125" i="7"/>
  <c r="D1140" i="7"/>
  <c r="D1147" i="7"/>
  <c r="D887" i="7"/>
  <c r="D840" i="7"/>
  <c r="D847" i="7"/>
  <c r="D864" i="7"/>
  <c r="D1042" i="7"/>
  <c r="D1070" i="7"/>
  <c r="D1105" i="7"/>
  <c r="D1115" i="7"/>
  <c r="D1131" i="7"/>
  <c r="D1150" i="7"/>
  <c r="D1160" i="7"/>
  <c r="D1009" i="7"/>
  <c r="AE894" i="7"/>
  <c r="AA894" i="7"/>
  <c r="W894" i="7"/>
  <c r="S894" i="7"/>
  <c r="O894" i="7"/>
  <c r="K894" i="7"/>
  <c r="G894" i="7"/>
  <c r="D818" i="7"/>
  <c r="D954" i="7"/>
  <c r="D969" i="7"/>
  <c r="D997" i="7"/>
  <c r="D1012" i="7"/>
  <c r="D1028" i="7"/>
  <c r="Y894" i="7"/>
  <c r="U894" i="7"/>
  <c r="Q894" i="7"/>
  <c r="M894" i="7"/>
  <c r="I894" i="7"/>
  <c r="E894" i="7"/>
  <c r="AD894" i="7"/>
  <c r="Z894" i="7"/>
  <c r="V894" i="7"/>
  <c r="R894" i="7"/>
  <c r="N894" i="7"/>
  <c r="J894" i="7"/>
  <c r="F894" i="7"/>
  <c r="AB894" i="7"/>
  <c r="X894" i="7"/>
  <c r="T894" i="7"/>
  <c r="H894" i="7"/>
  <c r="L894" i="7"/>
  <c r="P894" i="7"/>
  <c r="E811" i="7"/>
  <c r="F811" i="7"/>
  <c r="G811" i="7"/>
  <c r="H811" i="7"/>
  <c r="I811" i="7"/>
  <c r="J811" i="7"/>
  <c r="K811" i="7"/>
  <c r="L811" i="7"/>
  <c r="M811" i="7"/>
  <c r="N811" i="7"/>
  <c r="O811" i="7"/>
  <c r="P811" i="7"/>
  <c r="Q811" i="7"/>
  <c r="R811" i="7"/>
  <c r="S811" i="7"/>
  <c r="T811" i="7"/>
  <c r="U811" i="7"/>
  <c r="V811" i="7"/>
  <c r="W811" i="7"/>
  <c r="X811" i="7"/>
  <c r="Y811" i="7"/>
  <c r="Z811" i="7"/>
  <c r="AA811" i="7"/>
  <c r="AB811" i="7"/>
  <c r="AC811" i="7"/>
  <c r="AD811" i="7"/>
  <c r="AE811" i="7"/>
  <c r="D811" i="7"/>
  <c r="E809" i="7"/>
  <c r="F809" i="7"/>
  <c r="G809" i="7"/>
  <c r="H809" i="7"/>
  <c r="I809" i="7"/>
  <c r="J809" i="7"/>
  <c r="K809" i="7"/>
  <c r="L809" i="7"/>
  <c r="M809" i="7"/>
  <c r="N809" i="7"/>
  <c r="O809" i="7"/>
  <c r="P809" i="7"/>
  <c r="Q809" i="7"/>
  <c r="R809" i="7"/>
  <c r="S809" i="7"/>
  <c r="T809" i="7"/>
  <c r="U809" i="7"/>
  <c r="V809" i="7"/>
  <c r="W809" i="7"/>
  <c r="X809" i="7"/>
  <c r="Y809" i="7"/>
  <c r="Z809" i="7"/>
  <c r="AA809" i="7"/>
  <c r="AB809" i="7"/>
  <c r="AC809" i="7"/>
  <c r="AD809" i="7"/>
  <c r="AE809" i="7"/>
  <c r="D809" i="7"/>
  <c r="E800" i="7"/>
  <c r="F800" i="7"/>
  <c r="G800" i="7"/>
  <c r="H800" i="7"/>
  <c r="I800" i="7"/>
  <c r="J800" i="7"/>
  <c r="K800" i="7"/>
  <c r="L800" i="7"/>
  <c r="M800" i="7"/>
  <c r="N800" i="7"/>
  <c r="O800" i="7"/>
  <c r="P800" i="7"/>
  <c r="Q800" i="7"/>
  <c r="R800" i="7"/>
  <c r="S800" i="7"/>
  <c r="T800" i="7"/>
  <c r="U800" i="7"/>
  <c r="V800" i="7"/>
  <c r="W800" i="7"/>
  <c r="X800" i="7"/>
  <c r="Y800" i="7"/>
  <c r="Z800" i="7"/>
  <c r="AA800" i="7"/>
  <c r="AB800" i="7"/>
  <c r="AC800" i="7"/>
  <c r="AD800" i="7"/>
  <c r="AE800" i="7"/>
  <c r="D800" i="7"/>
  <c r="E798" i="7"/>
  <c r="F798" i="7"/>
  <c r="G798" i="7"/>
  <c r="H798" i="7"/>
  <c r="I798" i="7"/>
  <c r="J798" i="7"/>
  <c r="K798" i="7"/>
  <c r="L798" i="7"/>
  <c r="M798" i="7"/>
  <c r="N798" i="7"/>
  <c r="O798" i="7"/>
  <c r="P798" i="7"/>
  <c r="Q798" i="7"/>
  <c r="R798" i="7"/>
  <c r="S798" i="7"/>
  <c r="T798" i="7"/>
  <c r="U798" i="7"/>
  <c r="V798" i="7"/>
  <c r="W798" i="7"/>
  <c r="X798" i="7"/>
  <c r="Y798" i="7"/>
  <c r="Z798" i="7"/>
  <c r="AA798" i="7"/>
  <c r="AB798" i="7"/>
  <c r="AC798" i="7"/>
  <c r="AD798" i="7"/>
  <c r="AE798" i="7"/>
  <c r="D798" i="7"/>
  <c r="E796" i="7"/>
  <c r="F796" i="7"/>
  <c r="G796" i="7"/>
  <c r="H796" i="7"/>
  <c r="I796" i="7"/>
  <c r="J796" i="7"/>
  <c r="K796" i="7"/>
  <c r="L796" i="7"/>
  <c r="M796" i="7"/>
  <c r="N796" i="7"/>
  <c r="O796" i="7"/>
  <c r="P796" i="7"/>
  <c r="Q796" i="7"/>
  <c r="R796" i="7"/>
  <c r="S796" i="7"/>
  <c r="T796" i="7"/>
  <c r="U796" i="7"/>
  <c r="V796" i="7"/>
  <c r="W796" i="7"/>
  <c r="X796" i="7"/>
  <c r="Y796" i="7"/>
  <c r="Z796" i="7"/>
  <c r="AA796" i="7"/>
  <c r="AB796" i="7"/>
  <c r="AC796" i="7"/>
  <c r="AD796" i="7"/>
  <c r="AE796" i="7"/>
  <c r="D796" i="7"/>
  <c r="E794" i="7"/>
  <c r="F794" i="7"/>
  <c r="G794" i="7"/>
  <c r="H794" i="7"/>
  <c r="I794" i="7"/>
  <c r="J794" i="7"/>
  <c r="K794" i="7"/>
  <c r="L794" i="7"/>
  <c r="M794" i="7"/>
  <c r="N794" i="7"/>
  <c r="O794" i="7"/>
  <c r="P794" i="7"/>
  <c r="Q794" i="7"/>
  <c r="R794" i="7"/>
  <c r="S794" i="7"/>
  <c r="T794" i="7"/>
  <c r="U794" i="7"/>
  <c r="V794" i="7"/>
  <c r="W794" i="7"/>
  <c r="X794" i="7"/>
  <c r="Y794" i="7"/>
  <c r="Z794" i="7"/>
  <c r="AA794" i="7"/>
  <c r="AB794" i="7"/>
  <c r="AC794" i="7"/>
  <c r="AD794" i="7"/>
  <c r="AE794" i="7"/>
  <c r="D794" i="7"/>
  <c r="AE792" i="7"/>
  <c r="E792" i="7"/>
  <c r="F792" i="7"/>
  <c r="G792" i="7"/>
  <c r="H792" i="7"/>
  <c r="I792" i="7"/>
  <c r="J792" i="7"/>
  <c r="K792" i="7"/>
  <c r="L792" i="7"/>
  <c r="M792" i="7"/>
  <c r="N792" i="7"/>
  <c r="O792" i="7"/>
  <c r="P792" i="7"/>
  <c r="Q792" i="7"/>
  <c r="R792" i="7"/>
  <c r="S792" i="7"/>
  <c r="T792" i="7"/>
  <c r="U792" i="7"/>
  <c r="V792" i="7"/>
  <c r="W792" i="7"/>
  <c r="X792" i="7"/>
  <c r="Y792" i="7"/>
  <c r="Z792" i="7"/>
  <c r="AA792" i="7"/>
  <c r="AB792" i="7"/>
  <c r="AC792" i="7"/>
  <c r="AD792" i="7"/>
  <c r="D792" i="7"/>
  <c r="E790" i="7"/>
  <c r="F790" i="7"/>
  <c r="G790" i="7"/>
  <c r="H790" i="7"/>
  <c r="I790" i="7"/>
  <c r="J790" i="7"/>
  <c r="K790" i="7"/>
  <c r="L790" i="7"/>
  <c r="M790" i="7"/>
  <c r="N790" i="7"/>
  <c r="O790" i="7"/>
  <c r="P790" i="7"/>
  <c r="Q790" i="7"/>
  <c r="R790" i="7"/>
  <c r="S790" i="7"/>
  <c r="T790" i="7"/>
  <c r="U790" i="7"/>
  <c r="V790" i="7"/>
  <c r="W790" i="7"/>
  <c r="X790" i="7"/>
  <c r="Y790" i="7"/>
  <c r="Z790" i="7"/>
  <c r="AA790" i="7"/>
  <c r="AB790" i="7"/>
  <c r="AC790" i="7"/>
  <c r="AD790" i="7"/>
  <c r="AE790" i="7"/>
  <c r="D790" i="7"/>
  <c r="E788" i="7"/>
  <c r="F788" i="7"/>
  <c r="G788" i="7"/>
  <c r="H788" i="7"/>
  <c r="I788" i="7"/>
  <c r="J788" i="7"/>
  <c r="K788" i="7"/>
  <c r="L788" i="7"/>
  <c r="M788" i="7"/>
  <c r="N788" i="7"/>
  <c r="O788" i="7"/>
  <c r="P788" i="7"/>
  <c r="Q788" i="7"/>
  <c r="R788" i="7"/>
  <c r="S788" i="7"/>
  <c r="T788" i="7"/>
  <c r="U788" i="7"/>
  <c r="V788" i="7"/>
  <c r="W788" i="7"/>
  <c r="X788" i="7"/>
  <c r="Y788" i="7"/>
  <c r="Z788" i="7"/>
  <c r="AA788" i="7"/>
  <c r="AB788" i="7"/>
  <c r="AC788" i="7"/>
  <c r="AD788" i="7"/>
  <c r="AE788" i="7"/>
  <c r="D788" i="7"/>
  <c r="E783" i="7"/>
  <c r="F783" i="7"/>
  <c r="G783" i="7"/>
  <c r="H783" i="7"/>
  <c r="I783" i="7"/>
  <c r="J783" i="7"/>
  <c r="K783" i="7"/>
  <c r="L783" i="7"/>
  <c r="M783" i="7"/>
  <c r="N783" i="7"/>
  <c r="O783" i="7"/>
  <c r="P783" i="7"/>
  <c r="Q783" i="7"/>
  <c r="R783" i="7"/>
  <c r="S783" i="7"/>
  <c r="T783" i="7"/>
  <c r="U783" i="7"/>
  <c r="V783" i="7"/>
  <c r="W783" i="7"/>
  <c r="X783" i="7"/>
  <c r="Y783" i="7"/>
  <c r="Z783" i="7"/>
  <c r="AA783" i="7"/>
  <c r="AB783" i="7"/>
  <c r="AC783" i="7"/>
  <c r="AD783" i="7"/>
  <c r="AE783" i="7"/>
  <c r="D783" i="7"/>
  <c r="E776" i="7"/>
  <c r="F776" i="7"/>
  <c r="G776" i="7"/>
  <c r="H776" i="7"/>
  <c r="I776" i="7"/>
  <c r="J776" i="7"/>
  <c r="K776" i="7"/>
  <c r="L776" i="7"/>
  <c r="M776" i="7"/>
  <c r="N776" i="7"/>
  <c r="O776" i="7"/>
  <c r="P776" i="7"/>
  <c r="Q776" i="7"/>
  <c r="R776" i="7"/>
  <c r="S776" i="7"/>
  <c r="T776" i="7"/>
  <c r="U776" i="7"/>
  <c r="V776" i="7"/>
  <c r="W776" i="7"/>
  <c r="X776" i="7"/>
  <c r="Y776" i="7"/>
  <c r="Z776" i="7"/>
  <c r="AA776" i="7"/>
  <c r="AB776" i="7"/>
  <c r="AC776" i="7"/>
  <c r="AD776" i="7"/>
  <c r="AE776" i="7"/>
  <c r="D776" i="7"/>
  <c r="E774" i="7"/>
  <c r="F774" i="7"/>
  <c r="G774" i="7"/>
  <c r="H774" i="7"/>
  <c r="I774" i="7"/>
  <c r="J774" i="7"/>
  <c r="K774" i="7"/>
  <c r="L774" i="7"/>
  <c r="M774" i="7"/>
  <c r="N774" i="7"/>
  <c r="O774" i="7"/>
  <c r="P774" i="7"/>
  <c r="Q774" i="7"/>
  <c r="R774" i="7"/>
  <c r="S774" i="7"/>
  <c r="T774" i="7"/>
  <c r="U774" i="7"/>
  <c r="V774" i="7"/>
  <c r="W774" i="7"/>
  <c r="X774" i="7"/>
  <c r="Y774" i="7"/>
  <c r="Z774" i="7"/>
  <c r="AA774" i="7"/>
  <c r="AB774" i="7"/>
  <c r="AC774" i="7"/>
  <c r="AD774" i="7"/>
  <c r="AE774" i="7"/>
  <c r="D774" i="7"/>
  <c r="E772" i="7"/>
  <c r="F772" i="7"/>
  <c r="G772" i="7"/>
  <c r="H772" i="7"/>
  <c r="I772" i="7"/>
  <c r="J772" i="7"/>
  <c r="K772" i="7"/>
  <c r="L772" i="7"/>
  <c r="M772" i="7"/>
  <c r="N772" i="7"/>
  <c r="O772" i="7"/>
  <c r="P772" i="7"/>
  <c r="Q772" i="7"/>
  <c r="R772" i="7"/>
  <c r="S772" i="7"/>
  <c r="T772" i="7"/>
  <c r="U772" i="7"/>
  <c r="V772" i="7"/>
  <c r="W772" i="7"/>
  <c r="X772" i="7"/>
  <c r="Y772" i="7"/>
  <c r="Z772" i="7"/>
  <c r="AA772" i="7"/>
  <c r="AB772" i="7"/>
  <c r="AC772" i="7"/>
  <c r="AD772" i="7"/>
  <c r="AE772" i="7"/>
  <c r="D772" i="7"/>
  <c r="E769" i="7"/>
  <c r="F769" i="7"/>
  <c r="G769" i="7"/>
  <c r="H769" i="7"/>
  <c r="I769" i="7"/>
  <c r="J769" i="7"/>
  <c r="K769" i="7"/>
  <c r="L769" i="7"/>
  <c r="M769" i="7"/>
  <c r="N769" i="7"/>
  <c r="O769" i="7"/>
  <c r="P769" i="7"/>
  <c r="Q769" i="7"/>
  <c r="R769" i="7"/>
  <c r="S769" i="7"/>
  <c r="T769" i="7"/>
  <c r="U769" i="7"/>
  <c r="V769" i="7"/>
  <c r="W769" i="7"/>
  <c r="X769" i="7"/>
  <c r="Y769" i="7"/>
  <c r="Z769" i="7"/>
  <c r="AA769" i="7"/>
  <c r="AB769" i="7"/>
  <c r="AC769" i="7"/>
  <c r="AD769" i="7"/>
  <c r="AE769" i="7"/>
  <c r="D769" i="7"/>
  <c r="D766" i="7"/>
  <c r="E763" i="7"/>
  <c r="F763" i="7"/>
  <c r="G763" i="7"/>
  <c r="H763" i="7"/>
  <c r="I763" i="7"/>
  <c r="J763" i="7"/>
  <c r="K763" i="7"/>
  <c r="L763" i="7"/>
  <c r="M763" i="7"/>
  <c r="N763" i="7"/>
  <c r="O763" i="7"/>
  <c r="P763" i="7"/>
  <c r="Q763" i="7"/>
  <c r="R763" i="7"/>
  <c r="S763" i="7"/>
  <c r="T763" i="7"/>
  <c r="U763" i="7"/>
  <c r="V763" i="7"/>
  <c r="W763" i="7"/>
  <c r="X763" i="7"/>
  <c r="Y763" i="7"/>
  <c r="Z763" i="7"/>
  <c r="AA763" i="7"/>
  <c r="AB763" i="7"/>
  <c r="AC763" i="7"/>
  <c r="AD763" i="7"/>
  <c r="AE763" i="7"/>
  <c r="D763" i="7"/>
  <c r="E758" i="7"/>
  <c r="F758" i="7"/>
  <c r="G758" i="7"/>
  <c r="H758" i="7"/>
  <c r="I758" i="7"/>
  <c r="J758" i="7"/>
  <c r="K758" i="7"/>
  <c r="L758" i="7"/>
  <c r="M758" i="7"/>
  <c r="N758" i="7"/>
  <c r="O758" i="7"/>
  <c r="P758" i="7"/>
  <c r="Q758" i="7"/>
  <c r="R758" i="7"/>
  <c r="S758" i="7"/>
  <c r="T758" i="7"/>
  <c r="U758" i="7"/>
  <c r="V758" i="7"/>
  <c r="W758" i="7"/>
  <c r="X758" i="7"/>
  <c r="Y758" i="7"/>
  <c r="Z758" i="7"/>
  <c r="AA758" i="7"/>
  <c r="AB758" i="7"/>
  <c r="AC758" i="7"/>
  <c r="AD758" i="7"/>
  <c r="AE758" i="7"/>
  <c r="D758" i="7"/>
  <c r="E755" i="7"/>
  <c r="F755" i="7"/>
  <c r="G755" i="7"/>
  <c r="H755" i="7"/>
  <c r="I755" i="7"/>
  <c r="J755" i="7"/>
  <c r="K755" i="7"/>
  <c r="L755" i="7"/>
  <c r="M755" i="7"/>
  <c r="N755" i="7"/>
  <c r="O755" i="7"/>
  <c r="P755" i="7"/>
  <c r="Q755" i="7"/>
  <c r="R755" i="7"/>
  <c r="S755" i="7"/>
  <c r="T755" i="7"/>
  <c r="U755" i="7"/>
  <c r="V755" i="7"/>
  <c r="W755" i="7"/>
  <c r="X755" i="7"/>
  <c r="Y755" i="7"/>
  <c r="Z755" i="7"/>
  <c r="AA755" i="7"/>
  <c r="AB755" i="7"/>
  <c r="AC755" i="7"/>
  <c r="AD755" i="7"/>
  <c r="AE755" i="7"/>
  <c r="D755" i="7"/>
  <c r="E742" i="7"/>
  <c r="F742" i="7"/>
  <c r="G742" i="7"/>
  <c r="H742" i="7"/>
  <c r="I742" i="7"/>
  <c r="J742" i="7"/>
  <c r="K742" i="7"/>
  <c r="L742" i="7"/>
  <c r="M742" i="7"/>
  <c r="N742" i="7"/>
  <c r="O742" i="7"/>
  <c r="P742" i="7"/>
  <c r="Q742" i="7"/>
  <c r="R742" i="7"/>
  <c r="S742" i="7"/>
  <c r="T742" i="7"/>
  <c r="U742" i="7"/>
  <c r="V742" i="7"/>
  <c r="W742" i="7"/>
  <c r="X742" i="7"/>
  <c r="Y742" i="7"/>
  <c r="Z742" i="7"/>
  <c r="AA742" i="7"/>
  <c r="AB742" i="7"/>
  <c r="AC742" i="7"/>
  <c r="AD742" i="7"/>
  <c r="AE742" i="7"/>
  <c r="D742" i="7"/>
  <c r="E738" i="7"/>
  <c r="F738" i="7"/>
  <c r="G738" i="7"/>
  <c r="H738" i="7"/>
  <c r="I738" i="7"/>
  <c r="J738" i="7"/>
  <c r="K738" i="7"/>
  <c r="L738" i="7"/>
  <c r="M738" i="7"/>
  <c r="N738" i="7"/>
  <c r="O738" i="7"/>
  <c r="P738" i="7"/>
  <c r="Q738" i="7"/>
  <c r="R738" i="7"/>
  <c r="S738" i="7"/>
  <c r="T738" i="7"/>
  <c r="U738" i="7"/>
  <c r="V738" i="7"/>
  <c r="W738" i="7"/>
  <c r="X738" i="7"/>
  <c r="Y738" i="7"/>
  <c r="Z738" i="7"/>
  <c r="AA738" i="7"/>
  <c r="AB738" i="7"/>
  <c r="AC738" i="7"/>
  <c r="AD738" i="7"/>
  <c r="AE738" i="7"/>
  <c r="D738" i="7"/>
  <c r="E648" i="7"/>
  <c r="F648" i="7"/>
  <c r="G648" i="7"/>
  <c r="H648" i="7"/>
  <c r="I648" i="7"/>
  <c r="J648" i="7"/>
  <c r="K648" i="7"/>
  <c r="L648" i="7"/>
  <c r="M648" i="7"/>
  <c r="N648" i="7"/>
  <c r="O648" i="7"/>
  <c r="P648" i="7"/>
  <c r="Q648" i="7"/>
  <c r="R648" i="7"/>
  <c r="S648" i="7"/>
  <c r="T648" i="7"/>
  <c r="U648" i="7"/>
  <c r="V648" i="7"/>
  <c r="W648" i="7"/>
  <c r="X648" i="7"/>
  <c r="Y648" i="7"/>
  <c r="Z648" i="7"/>
  <c r="AA648" i="7"/>
  <c r="AB648" i="7"/>
  <c r="AC648" i="7"/>
  <c r="AD648" i="7"/>
  <c r="AE648" i="7"/>
  <c r="D648" i="7"/>
  <c r="E529" i="7"/>
  <c r="F529" i="7"/>
  <c r="G529" i="7"/>
  <c r="H529" i="7"/>
  <c r="I529" i="7"/>
  <c r="J529" i="7"/>
  <c r="K529" i="7"/>
  <c r="L529" i="7"/>
  <c r="M529" i="7"/>
  <c r="N529" i="7"/>
  <c r="O529" i="7"/>
  <c r="P529" i="7"/>
  <c r="Q529" i="7"/>
  <c r="R529" i="7"/>
  <c r="S529" i="7"/>
  <c r="T529" i="7"/>
  <c r="U529" i="7"/>
  <c r="V529" i="7"/>
  <c r="W529" i="7"/>
  <c r="X529" i="7"/>
  <c r="Y529" i="7"/>
  <c r="Z529" i="7"/>
  <c r="AA529" i="7"/>
  <c r="AB529" i="7"/>
  <c r="AC529" i="7"/>
  <c r="AD529" i="7"/>
  <c r="AE529" i="7"/>
  <c r="D529" i="7"/>
  <c r="E510" i="7"/>
  <c r="F510" i="7"/>
  <c r="G510" i="7"/>
  <c r="H510" i="7"/>
  <c r="I510" i="7"/>
  <c r="J510" i="7"/>
  <c r="K510" i="7"/>
  <c r="L510" i="7"/>
  <c r="M510" i="7"/>
  <c r="N510" i="7"/>
  <c r="O510" i="7"/>
  <c r="P510" i="7"/>
  <c r="Q510" i="7"/>
  <c r="R510" i="7"/>
  <c r="S510" i="7"/>
  <c r="T510" i="7"/>
  <c r="U510" i="7"/>
  <c r="V510" i="7"/>
  <c r="W510" i="7"/>
  <c r="X510" i="7"/>
  <c r="Y510" i="7"/>
  <c r="Z510" i="7"/>
  <c r="AA510" i="7"/>
  <c r="AB510" i="7"/>
  <c r="AC510" i="7"/>
  <c r="AD510" i="7"/>
  <c r="AE510" i="7"/>
  <c r="D510" i="7"/>
  <c r="E508" i="7"/>
  <c r="F508" i="7"/>
  <c r="G508" i="7"/>
  <c r="H508" i="7"/>
  <c r="I508" i="7"/>
  <c r="J508" i="7"/>
  <c r="K508" i="7"/>
  <c r="L508" i="7"/>
  <c r="M508" i="7"/>
  <c r="N508" i="7"/>
  <c r="O508" i="7"/>
  <c r="P508" i="7"/>
  <c r="Q508" i="7"/>
  <c r="R508" i="7"/>
  <c r="S508" i="7"/>
  <c r="T508" i="7"/>
  <c r="U508" i="7"/>
  <c r="V508" i="7"/>
  <c r="W508" i="7"/>
  <c r="X508" i="7"/>
  <c r="Y508" i="7"/>
  <c r="Z508" i="7"/>
  <c r="AA508" i="7"/>
  <c r="AB508" i="7"/>
  <c r="AC508" i="7"/>
  <c r="AD508" i="7"/>
  <c r="AE508" i="7"/>
  <c r="D508" i="7"/>
  <c r="E506" i="7"/>
  <c r="F506" i="7"/>
  <c r="G506" i="7"/>
  <c r="H506" i="7"/>
  <c r="I506" i="7"/>
  <c r="J506" i="7"/>
  <c r="K506" i="7"/>
  <c r="L506" i="7"/>
  <c r="M506" i="7"/>
  <c r="N506" i="7"/>
  <c r="O506" i="7"/>
  <c r="P506" i="7"/>
  <c r="Q506" i="7"/>
  <c r="R506" i="7"/>
  <c r="S506" i="7"/>
  <c r="T506" i="7"/>
  <c r="U506" i="7"/>
  <c r="V506" i="7"/>
  <c r="W506" i="7"/>
  <c r="X506" i="7"/>
  <c r="Y506" i="7"/>
  <c r="Z506" i="7"/>
  <c r="AA506" i="7"/>
  <c r="AB506" i="7"/>
  <c r="AC506" i="7"/>
  <c r="AD506" i="7"/>
  <c r="AE506" i="7"/>
  <c r="D506" i="7"/>
  <c r="E495" i="7"/>
  <c r="F495" i="7"/>
  <c r="G495" i="7"/>
  <c r="H495" i="7"/>
  <c r="I495" i="7"/>
  <c r="J495" i="7"/>
  <c r="K495" i="7"/>
  <c r="L495" i="7"/>
  <c r="M495" i="7"/>
  <c r="N495" i="7"/>
  <c r="O495" i="7"/>
  <c r="P495" i="7"/>
  <c r="Q495" i="7"/>
  <c r="R495" i="7"/>
  <c r="S495" i="7"/>
  <c r="T495" i="7"/>
  <c r="U495" i="7"/>
  <c r="V495" i="7"/>
  <c r="W495" i="7"/>
  <c r="X495" i="7"/>
  <c r="Y495" i="7"/>
  <c r="Z495" i="7"/>
  <c r="AA495" i="7"/>
  <c r="AB495" i="7"/>
  <c r="AC495" i="7"/>
  <c r="AD495" i="7"/>
  <c r="AE495" i="7"/>
  <c r="D495" i="7"/>
  <c r="E493" i="7"/>
  <c r="F493" i="7"/>
  <c r="G493" i="7"/>
  <c r="H493" i="7"/>
  <c r="I493" i="7"/>
  <c r="J493" i="7"/>
  <c r="K493" i="7"/>
  <c r="L493" i="7"/>
  <c r="M493" i="7"/>
  <c r="N493" i="7"/>
  <c r="O493" i="7"/>
  <c r="P493" i="7"/>
  <c r="Q493" i="7"/>
  <c r="R493" i="7"/>
  <c r="S493" i="7"/>
  <c r="T493" i="7"/>
  <c r="U493" i="7"/>
  <c r="V493" i="7"/>
  <c r="W493" i="7"/>
  <c r="X493" i="7"/>
  <c r="Y493" i="7"/>
  <c r="Z493" i="7"/>
  <c r="AA493" i="7"/>
  <c r="AB493" i="7"/>
  <c r="AC493" i="7"/>
  <c r="AD493" i="7"/>
  <c r="AE493" i="7"/>
  <c r="D493" i="7"/>
  <c r="E491" i="7"/>
  <c r="F491" i="7"/>
  <c r="G491" i="7"/>
  <c r="H491" i="7"/>
  <c r="I491" i="7"/>
  <c r="J491" i="7"/>
  <c r="K491" i="7"/>
  <c r="L491" i="7"/>
  <c r="M491" i="7"/>
  <c r="N491" i="7"/>
  <c r="O491" i="7"/>
  <c r="P491" i="7"/>
  <c r="Q491" i="7"/>
  <c r="R491" i="7"/>
  <c r="S491" i="7"/>
  <c r="T491" i="7"/>
  <c r="U491" i="7"/>
  <c r="V491" i="7"/>
  <c r="W491" i="7"/>
  <c r="X491" i="7"/>
  <c r="Y491" i="7"/>
  <c r="Z491" i="7"/>
  <c r="AA491" i="7"/>
  <c r="AB491" i="7"/>
  <c r="AC491" i="7"/>
  <c r="AD491" i="7"/>
  <c r="AE491" i="7"/>
  <c r="D491" i="7"/>
  <c r="E489" i="7"/>
  <c r="F489" i="7"/>
  <c r="G489" i="7"/>
  <c r="H489" i="7"/>
  <c r="I489" i="7"/>
  <c r="J489" i="7"/>
  <c r="K489" i="7"/>
  <c r="L489" i="7"/>
  <c r="M489" i="7"/>
  <c r="N489" i="7"/>
  <c r="O489" i="7"/>
  <c r="P489" i="7"/>
  <c r="Q489" i="7"/>
  <c r="R489" i="7"/>
  <c r="S489" i="7"/>
  <c r="T489" i="7"/>
  <c r="U489" i="7"/>
  <c r="V489" i="7"/>
  <c r="W489" i="7"/>
  <c r="X489" i="7"/>
  <c r="Y489" i="7"/>
  <c r="Z489" i="7"/>
  <c r="AA489" i="7"/>
  <c r="AB489" i="7"/>
  <c r="AC489" i="7"/>
  <c r="AD489" i="7"/>
  <c r="AE489" i="7"/>
  <c r="D489" i="7"/>
  <c r="D451" i="7"/>
  <c r="D449" i="7"/>
  <c r="D445" i="7"/>
  <c r="D374" i="7"/>
  <c r="D372" i="7"/>
  <c r="D352" i="7"/>
  <c r="J11" i="9"/>
  <c r="L11" i="9"/>
  <c r="I11" i="9"/>
  <c r="P11" i="9" s="1"/>
  <c r="U20" i="7" l="1"/>
  <c r="I20" i="7"/>
  <c r="Q20" i="7"/>
  <c r="Y20" i="7"/>
  <c r="M20" i="7"/>
  <c r="N20" i="7"/>
  <c r="F20" i="7"/>
  <c r="AD20" i="7"/>
  <c r="V20" i="7"/>
  <c r="J20" i="7"/>
  <c r="Z20" i="7"/>
  <c r="E20" i="7"/>
  <c r="AE20" i="7"/>
  <c r="AA20" i="7"/>
  <c r="W20" i="7"/>
  <c r="S20" i="7"/>
  <c r="O20" i="7"/>
  <c r="K20" i="7"/>
  <c r="G20" i="7"/>
  <c r="AB20" i="7"/>
  <c r="X20" i="7"/>
  <c r="T20" i="7"/>
  <c r="P20" i="7"/>
  <c r="L20" i="7"/>
  <c r="H20" i="7"/>
  <c r="AD533" i="7"/>
  <c r="Z533" i="7"/>
  <c r="V533" i="7"/>
  <c r="R533" i="7"/>
  <c r="N533" i="7"/>
  <c r="J533" i="7"/>
  <c r="F533" i="7"/>
  <c r="AB533" i="7"/>
  <c r="AC533" i="7"/>
  <c r="Y533" i="7"/>
  <c r="U533" i="7"/>
  <c r="Q533" i="7"/>
  <c r="M533" i="7"/>
  <c r="I533" i="7"/>
  <c r="E533" i="7"/>
  <c r="T533" i="7"/>
  <c r="H533" i="7"/>
  <c r="X533" i="7"/>
  <c r="P533" i="7"/>
  <c r="L533" i="7"/>
  <c r="AE533" i="7"/>
  <c r="AA533" i="7"/>
  <c r="W533" i="7"/>
  <c r="S533" i="7"/>
  <c r="O533" i="7"/>
  <c r="K533" i="7"/>
  <c r="G533" i="7"/>
  <c r="AW354" i="7"/>
  <c r="K26" i="9"/>
  <c r="K25" i="9" s="1"/>
  <c r="K58" i="9"/>
  <c r="J25" i="9"/>
  <c r="L25" i="9"/>
  <c r="I25" i="9"/>
  <c r="P25" i="9" s="1"/>
  <c r="B12" i="9"/>
  <c r="AT879" i="7" l="1"/>
  <c r="AT756" i="7"/>
  <c r="AT757" i="7"/>
  <c r="W19" i="7"/>
  <c r="AT1021" i="7"/>
  <c r="AT850" i="7"/>
  <c r="AT1030" i="7"/>
  <c r="AT1147" i="7"/>
  <c r="AT782" i="7"/>
  <c r="AT953" i="7"/>
  <c r="AT1156" i="7"/>
  <c r="AT1096" i="7"/>
  <c r="AT1035" i="7"/>
  <c r="AT679" i="7"/>
  <c r="AT1137" i="7"/>
  <c r="AT1024" i="7"/>
  <c r="AT1148" i="7"/>
  <c r="AT1143" i="7"/>
  <c r="AT763" i="7"/>
  <c r="AT912" i="7"/>
  <c r="AT828" i="7"/>
  <c r="AT70" i="7"/>
  <c r="AT987" i="7"/>
  <c r="AT978" i="7"/>
  <c r="AT1109" i="7"/>
  <c r="AT1128" i="7"/>
  <c r="AT1117" i="7"/>
  <c r="AT1103" i="7"/>
  <c r="AT1157" i="7"/>
  <c r="AT934" i="7"/>
  <c r="AT1080" i="7"/>
  <c r="AT1135" i="7"/>
  <c r="AT1069" i="7"/>
  <c r="AT794" i="7"/>
  <c r="AT1064" i="7"/>
  <c r="AT947" i="7"/>
  <c r="AT915" i="7"/>
  <c r="AT861" i="7"/>
  <c r="AT1012" i="7"/>
  <c r="AT1065" i="7"/>
  <c r="AT1163" i="7"/>
  <c r="AT1112" i="7"/>
  <c r="AT1048" i="7"/>
  <c r="AT900" i="7"/>
  <c r="AT1037" i="7"/>
  <c r="AT1071" i="7"/>
  <c r="AT830" i="7"/>
  <c r="AT1094" i="7"/>
  <c r="AT773" i="7"/>
  <c r="AT290" i="7"/>
  <c r="AT201" i="7"/>
  <c r="AT245" i="7"/>
  <c r="AT680" i="7"/>
  <c r="AT495" i="7"/>
  <c r="AT657" i="7"/>
  <c r="AT166" i="7"/>
  <c r="AT551" i="7"/>
  <c r="AT662" i="7"/>
  <c r="AT435" i="7"/>
  <c r="AT758" i="7"/>
  <c r="AT795" i="7"/>
  <c r="AT827" i="7"/>
  <c r="AT859" i="7"/>
  <c r="AT889" i="7"/>
  <c r="AT921" i="7"/>
  <c r="AT952" i="7"/>
  <c r="AT984" i="7"/>
  <c r="AT133" i="7"/>
  <c r="AT570" i="7"/>
  <c r="AT766" i="7"/>
  <c r="AT808" i="7"/>
  <c r="AT840" i="7"/>
  <c r="AT872" i="7"/>
  <c r="AT902" i="7"/>
  <c r="AT933" i="7"/>
  <c r="AT965" i="7"/>
  <c r="AT997" i="7"/>
  <c r="AT491" i="7"/>
  <c r="AT719" i="7"/>
  <c r="AT781" i="7"/>
  <c r="AT805" i="7"/>
  <c r="AT825" i="7"/>
  <c r="AT845" i="7"/>
  <c r="AT869" i="7"/>
  <c r="AT774" i="7"/>
  <c r="AT842" i="7"/>
  <c r="AT888" i="7"/>
  <c r="AT920" i="7"/>
  <c r="AT951" i="7"/>
  <c r="AT991" i="7"/>
  <c r="AT1018" i="7"/>
  <c r="AT1034" i="7"/>
  <c r="AT1050" i="7"/>
  <c r="AT1066" i="7"/>
  <c r="AT1082" i="7"/>
  <c r="AT1098" i="7"/>
  <c r="AT1114" i="7"/>
  <c r="AT1130" i="7"/>
  <c r="AT1145" i="7"/>
  <c r="AT1161" i="7"/>
  <c r="AT919" i="7"/>
  <c r="AT1010" i="7"/>
  <c r="AT1053" i="7"/>
  <c r="AT1093" i="7"/>
  <c r="AT1133" i="7"/>
  <c r="AT1164" i="7"/>
  <c r="AT802" i="7"/>
  <c r="AT862" i="7"/>
  <c r="AT899" i="7"/>
  <c r="AT930" i="7"/>
  <c r="AT962" i="7"/>
  <c r="AT994" i="7"/>
  <c r="AT1027" i="7"/>
  <c r="AT1043" i="7"/>
  <c r="AT1063" i="7"/>
  <c r="AT1079" i="7"/>
  <c r="AT1095" i="7"/>
  <c r="AT1111" i="7"/>
  <c r="AT1127" i="7"/>
  <c r="AT1146" i="7"/>
  <c r="AT1162" i="7"/>
  <c r="AT887" i="7"/>
  <c r="AT982" i="7"/>
  <c r="AT1073" i="7"/>
  <c r="AT1144" i="7"/>
  <c r="AT659" i="7"/>
  <c r="AT818" i="7"/>
  <c r="AT878" i="7"/>
  <c r="AT908" i="7"/>
  <c r="AT939" i="7"/>
  <c r="AT971" i="7"/>
  <c r="AT1003" i="7"/>
  <c r="AT1028" i="7"/>
  <c r="AT1044" i="7"/>
  <c r="AT405" i="7"/>
  <c r="AT450" i="7"/>
  <c r="AT372" i="7"/>
  <c r="AT546" i="7"/>
  <c r="AT772" i="7"/>
  <c r="AT550" i="7"/>
  <c r="AT721" i="7"/>
  <c r="AT490" i="7"/>
  <c r="AT558" i="7"/>
  <c r="AT686" i="7"/>
  <c r="AT510" i="7"/>
  <c r="AT765" i="7"/>
  <c r="AT799" i="7"/>
  <c r="AT831" i="7"/>
  <c r="AT863" i="7"/>
  <c r="AT893" i="7"/>
  <c r="AT924" i="7"/>
  <c r="AT956" i="7"/>
  <c r="AT988" i="7"/>
  <c r="AT202" i="7"/>
  <c r="AT584" i="7"/>
  <c r="AT771" i="7"/>
  <c r="AT812" i="7"/>
  <c r="AT844" i="7"/>
  <c r="AT876" i="7"/>
  <c r="AT906" i="7"/>
  <c r="AT937" i="7"/>
  <c r="AT969" i="7"/>
  <c r="AT1001" i="7"/>
  <c r="AT523" i="7"/>
  <c r="AT743" i="7"/>
  <c r="AT789" i="7"/>
  <c r="AT809" i="7"/>
  <c r="AT829" i="7"/>
  <c r="AT853" i="7"/>
  <c r="AT873" i="7"/>
  <c r="AT798" i="7"/>
  <c r="AT858" i="7"/>
  <c r="AT896" i="7"/>
  <c r="AT927" i="7"/>
  <c r="AT959" i="7"/>
  <c r="AT999" i="7"/>
  <c r="AT1022" i="7"/>
  <c r="AT1038" i="7"/>
  <c r="AT1054" i="7"/>
  <c r="AT1070" i="7"/>
  <c r="AT1086" i="7"/>
  <c r="AT1102" i="7"/>
  <c r="AT1118" i="7"/>
  <c r="AT1134" i="7"/>
  <c r="AT1149" i="7"/>
  <c r="AT822" i="7"/>
  <c r="AT942" i="7"/>
  <c r="AT1025" i="7"/>
  <c r="AT1061" i="7"/>
  <c r="AT1101" i="7"/>
  <c r="AT1140" i="7"/>
  <c r="AT501" i="7"/>
  <c r="AT814" i="7"/>
  <c r="AT877" i="7"/>
  <c r="AT907" i="7"/>
  <c r="AT938" i="7"/>
  <c r="AT970" i="7"/>
  <c r="AT1007" i="7"/>
  <c r="AT1031" i="7"/>
  <c r="AT1051" i="7"/>
  <c r="AT1067" i="7"/>
  <c r="AT1083" i="7"/>
  <c r="AT1099" i="7"/>
  <c r="AT1115" i="7"/>
  <c r="AT1131" i="7"/>
  <c r="AT1150" i="7"/>
  <c r="AT22" i="7"/>
  <c r="AT903" i="7"/>
  <c r="AT1016" i="7"/>
  <c r="AT461" i="7"/>
  <c r="AT485" i="7"/>
  <c r="AT376" i="7"/>
  <c r="AT50" i="7"/>
  <c r="AT554" i="7"/>
  <c r="AT725" i="7"/>
  <c r="AT500" i="7"/>
  <c r="AT577" i="7"/>
  <c r="AT726" i="7"/>
  <c r="AT779" i="7"/>
  <c r="AT811" i="7"/>
  <c r="AT843" i="7"/>
  <c r="AT875" i="7"/>
  <c r="AT905" i="7"/>
  <c r="AT936" i="7"/>
  <c r="AT968" i="7"/>
  <c r="AT1000" i="7"/>
  <c r="AT469" i="7"/>
  <c r="AT683" i="7"/>
  <c r="AT788" i="7"/>
  <c r="AT824" i="7"/>
  <c r="AT856" i="7"/>
  <c r="AT886" i="7"/>
  <c r="AT918" i="7"/>
  <c r="AT949" i="7"/>
  <c r="AT981" i="7"/>
  <c r="AT1013" i="7"/>
  <c r="AT574" i="7"/>
  <c r="AT767" i="7"/>
  <c r="AT793" i="7"/>
  <c r="AT813" i="7"/>
  <c r="AT837" i="7"/>
  <c r="AT857" i="7"/>
  <c r="AT562" i="7"/>
  <c r="AT810" i="7"/>
  <c r="AT874" i="7"/>
  <c r="AT904" i="7"/>
  <c r="AT935" i="7"/>
  <c r="AT967" i="7"/>
  <c r="AT1006" i="7"/>
  <c r="AT1026" i="7"/>
  <c r="AT1042" i="7"/>
  <c r="AT1058" i="7"/>
  <c r="AT1074" i="7"/>
  <c r="AT1090" i="7"/>
  <c r="AT1106" i="7"/>
  <c r="AT1122" i="7"/>
  <c r="AT1138" i="7"/>
  <c r="AT1153" i="7"/>
  <c r="AT881" i="7"/>
  <c r="AT966" i="7"/>
  <c r="AT1033" i="7"/>
  <c r="AT1097" i="7"/>
  <c r="AT998" i="7"/>
  <c r="AT769" i="7"/>
  <c r="AT1124" i="7"/>
  <c r="AT1076" i="7"/>
  <c r="AT1020" i="7"/>
  <c r="AT931" i="7"/>
  <c r="AT834" i="7"/>
  <c r="AT950" i="7"/>
  <c r="AT1091" i="7"/>
  <c r="AT1059" i="7"/>
  <c r="AT954" i="7"/>
  <c r="AT891" i="7"/>
  <c r="AT786" i="7"/>
  <c r="AT1125" i="7"/>
  <c r="AT1041" i="7"/>
  <c r="AT1141" i="7"/>
  <c r="AT1078" i="7"/>
  <c r="AT1011" i="7"/>
  <c r="AT882" i="7"/>
  <c r="AT841" i="7"/>
  <c r="AT655" i="7"/>
  <c r="AT922" i="7"/>
  <c r="AT792" i="7"/>
  <c r="AT972" i="7"/>
  <c r="AT847" i="7"/>
  <c r="AT738" i="7"/>
  <c r="AT649" i="7"/>
  <c r="AT176" i="7"/>
  <c r="AT1057" i="7"/>
  <c r="AT911" i="7"/>
  <c r="AT1159" i="7"/>
  <c r="AT1108" i="7"/>
  <c r="AT1060" i="7"/>
  <c r="AT1040" i="7"/>
  <c r="AT979" i="7"/>
  <c r="AT892" i="7"/>
  <c r="AT530" i="7"/>
  <c r="AT1105" i="7"/>
  <c r="AT1158" i="7"/>
  <c r="AT1123" i="7"/>
  <c r="AT1019" i="7"/>
  <c r="AT1129" i="7"/>
  <c r="AT1085" i="7"/>
  <c r="AT1045" i="7"/>
  <c r="AT974" i="7"/>
  <c r="AT838" i="7"/>
  <c r="AT1155" i="7"/>
  <c r="AT1136" i="7"/>
  <c r="AT1120" i="7"/>
  <c r="AT1104" i="7"/>
  <c r="AT1088" i="7"/>
  <c r="AT1072" i="7"/>
  <c r="AT1056" i="7"/>
  <c r="AT1036" i="7"/>
  <c r="AT1015" i="7"/>
  <c r="AT963" i="7"/>
  <c r="AT790" i="7"/>
  <c r="AT43" i="7"/>
  <c r="AT1089" i="7"/>
  <c r="AT926" i="7"/>
  <c r="AT1154" i="7"/>
  <c r="AT1119" i="7"/>
  <c r="AT1087" i="7"/>
  <c r="AT1055" i="7"/>
  <c r="AT1014" i="7"/>
  <c r="AT946" i="7"/>
  <c r="AT578" i="7"/>
  <c r="AT1113" i="7"/>
  <c r="AT990" i="7"/>
  <c r="AT1126" i="7"/>
  <c r="AT1062" i="7"/>
  <c r="AT975" i="7"/>
  <c r="AT826" i="7"/>
  <c r="AT821" i="7"/>
  <c r="AT1017" i="7"/>
  <c r="AT890" i="7"/>
  <c r="AT739" i="7"/>
  <c r="AT940" i="7"/>
  <c r="AT815" i="7"/>
  <c r="AT658" i="7"/>
  <c r="AT452" i="7"/>
  <c r="AT243" i="7"/>
  <c r="AT1092" i="7"/>
  <c r="AT1121" i="7"/>
  <c r="AT1077" i="7"/>
  <c r="AT1029" i="7"/>
  <c r="AT958" i="7"/>
  <c r="AT806" i="7"/>
  <c r="AT343" i="7"/>
  <c r="AT1151" i="7"/>
  <c r="AT1132" i="7"/>
  <c r="AT1116" i="7"/>
  <c r="AT1100" i="7"/>
  <c r="AT1084" i="7"/>
  <c r="AT1068" i="7"/>
  <c r="AT1052" i="7"/>
  <c r="AT1032" i="7"/>
  <c r="AT995" i="7"/>
  <c r="AT955" i="7"/>
  <c r="AT916" i="7"/>
  <c r="AT866" i="7"/>
  <c r="AT778" i="7"/>
  <c r="AT1152" i="7"/>
  <c r="AT1049" i="7"/>
  <c r="AT854" i="7"/>
  <c r="AT1142" i="7"/>
  <c r="AT1107" i="7"/>
  <c r="AT1075" i="7"/>
  <c r="AT1039" i="7"/>
  <c r="AT986" i="7"/>
  <c r="AT923" i="7"/>
  <c r="AT846" i="7"/>
  <c r="AT1160" i="7"/>
  <c r="AT1081" i="7"/>
  <c r="AT895" i="7"/>
  <c r="AT1110" i="7"/>
  <c r="AT1046" i="7"/>
  <c r="AT943" i="7"/>
  <c r="AT723" i="7"/>
  <c r="AT797" i="7"/>
  <c r="AT985" i="7"/>
  <c r="AT860" i="7"/>
  <c r="AT519" i="7"/>
  <c r="AT909" i="7"/>
  <c r="AT783" i="7"/>
  <c r="AT535" i="7"/>
  <c r="AT676" i="7"/>
  <c r="AT476" i="7"/>
  <c r="AT63" i="7"/>
  <c r="AT326" i="7"/>
  <c r="AT470" i="7"/>
  <c r="AT139" i="7"/>
  <c r="AT298" i="7"/>
  <c r="AT400" i="7"/>
  <c r="AT28" i="7"/>
  <c r="AT136" i="7"/>
  <c r="AT244" i="7"/>
  <c r="AT324" i="7"/>
  <c r="AT393" i="7"/>
  <c r="AT499" i="7"/>
  <c r="AT292" i="7"/>
  <c r="AT520" i="7"/>
  <c r="AT575" i="7"/>
  <c r="AT660" i="7"/>
  <c r="AT720" i="7"/>
  <c r="AT752" i="7"/>
  <c r="AT210" i="7"/>
  <c r="AT404" i="7"/>
  <c r="AT508" i="7"/>
  <c r="AT538" i="7"/>
  <c r="AT560" i="7"/>
  <c r="AT580" i="7"/>
  <c r="AT661" i="7"/>
  <c r="AT681" i="7"/>
  <c r="AT741" i="7"/>
  <c r="AT29" i="7"/>
  <c r="AT177" i="7"/>
  <c r="AT381" i="7"/>
  <c r="AT509" i="7"/>
  <c r="AT544" i="7"/>
  <c r="AT561" i="7"/>
  <c r="AT670" i="7"/>
  <c r="AT718" i="7"/>
  <c r="AT742" i="7"/>
  <c r="AT536" i="7"/>
  <c r="AT747" i="7"/>
  <c r="AT770" i="7"/>
  <c r="AT338" i="7"/>
  <c r="AT803" i="7"/>
  <c r="AT819" i="7"/>
  <c r="AT835" i="7"/>
  <c r="AT851" i="7"/>
  <c r="AT867" i="7"/>
  <c r="AT883" i="7"/>
  <c r="AT897" i="7"/>
  <c r="AT913" i="7"/>
  <c r="AT928" i="7"/>
  <c r="AT945" i="7"/>
  <c r="AT960" i="7"/>
  <c r="AT976" i="7"/>
  <c r="AT992" i="7"/>
  <c r="AT31" i="7"/>
  <c r="AT288" i="7"/>
  <c r="AT540" i="7"/>
  <c r="AT651" i="7"/>
  <c r="AT755" i="7"/>
  <c r="AT776" i="7"/>
  <c r="AT796" i="7"/>
  <c r="AT816" i="7"/>
  <c r="AT832" i="7"/>
  <c r="AT848" i="7"/>
  <c r="AT864" i="7"/>
  <c r="AT880" i="7"/>
  <c r="AT894" i="7"/>
  <c r="AT910" i="7"/>
  <c r="AT925" i="7"/>
  <c r="AT941" i="7"/>
  <c r="AT957" i="7"/>
  <c r="AT973" i="7"/>
  <c r="AT989" i="7"/>
  <c r="AT1005" i="7"/>
  <c r="AT310" i="7"/>
  <c r="AT545" i="7"/>
  <c r="AT671" i="7"/>
  <c r="AT750" i="7"/>
  <c r="AT232" i="7"/>
  <c r="AT378" i="7"/>
  <c r="AT48" i="7"/>
  <c r="AT200" i="7"/>
  <c r="AT345" i="7"/>
  <c r="AT423" i="7"/>
  <c r="AT30" i="7"/>
  <c r="AT172" i="7"/>
  <c r="AT267" i="7"/>
  <c r="AT346" i="7"/>
  <c r="AT424" i="7"/>
  <c r="AT507" i="7"/>
  <c r="AT373" i="7"/>
  <c r="AT541" i="7"/>
  <c r="AT579" i="7"/>
  <c r="AT672" i="7"/>
  <c r="AT724" i="7"/>
  <c r="AT768" i="7"/>
  <c r="AT300" i="7"/>
  <c r="AT431" i="7"/>
  <c r="AT513" i="7"/>
  <c r="AT547" i="7"/>
  <c r="AT563" i="7"/>
  <c r="AT582" i="7"/>
  <c r="AT665" i="7"/>
  <c r="AT689" i="7"/>
  <c r="AT745" i="7"/>
  <c r="AT39" i="7"/>
  <c r="AT277" i="7"/>
  <c r="AT411" i="7"/>
  <c r="AT522" i="7"/>
  <c r="AT548" i="7"/>
  <c r="AT564" i="7"/>
  <c r="AT654" i="7"/>
  <c r="AT674" i="7"/>
  <c r="AT722" i="7"/>
  <c r="AT241" i="7"/>
  <c r="AT565" i="7"/>
  <c r="AT754" i="7"/>
  <c r="AT775" i="7"/>
  <c r="AT791" i="7"/>
  <c r="AT807" i="7"/>
  <c r="AT823" i="7"/>
  <c r="AT839" i="7"/>
  <c r="AT855" i="7"/>
  <c r="AT871" i="7"/>
  <c r="AT885" i="7"/>
  <c r="AT901" i="7"/>
  <c r="AT917" i="7"/>
  <c r="AT932" i="7"/>
  <c r="AT948" i="7"/>
  <c r="AT964" i="7"/>
  <c r="AT980" i="7"/>
  <c r="AT996" i="7"/>
  <c r="AT74" i="7"/>
  <c r="AT386" i="7"/>
  <c r="AT557" i="7"/>
  <c r="AT667" i="7"/>
  <c r="AT759" i="7"/>
  <c r="AT780" i="7"/>
  <c r="AT800" i="7"/>
  <c r="AT820" i="7"/>
  <c r="AT836" i="7"/>
  <c r="AT852" i="7"/>
  <c r="AT868" i="7"/>
  <c r="AT884" i="7"/>
  <c r="AT898" i="7"/>
  <c r="AT914" i="7"/>
  <c r="AT929" i="7"/>
  <c r="AT961" i="7"/>
  <c r="AT977" i="7"/>
  <c r="AT993" i="7"/>
  <c r="AT1009" i="7"/>
  <c r="AT416" i="7"/>
  <c r="AT559" i="7"/>
  <c r="AT687" i="7"/>
  <c r="AT762" i="7"/>
  <c r="AT785" i="7"/>
  <c r="AT801" i="7"/>
  <c r="AT817" i="7"/>
  <c r="AT833" i="7"/>
  <c r="AT849" i="7"/>
  <c r="AT865" i="7"/>
  <c r="AT675" i="7"/>
  <c r="AT357" i="7"/>
  <c r="AT761" i="7"/>
  <c r="AT677" i="7"/>
  <c r="AT576" i="7"/>
  <c r="AT534" i="7"/>
  <c r="AT353" i="7"/>
  <c r="AT744" i="7"/>
  <c r="AT656" i="7"/>
  <c r="AT494" i="7"/>
  <c r="AT455" i="7"/>
  <c r="AT313" i="7"/>
  <c r="AT65" i="7"/>
  <c r="AT370" i="7"/>
  <c r="AT135" i="7"/>
  <c r="AT307" i="7"/>
  <c r="AT678" i="7"/>
  <c r="AT573" i="7"/>
  <c r="AT529" i="7"/>
  <c r="AT306" i="7"/>
  <c r="AT749" i="7"/>
  <c r="AT673" i="7"/>
  <c r="AT567" i="7"/>
  <c r="AT526" i="7"/>
  <c r="AT325" i="7"/>
  <c r="AT740" i="7"/>
  <c r="AT648" i="7"/>
  <c r="AT483" i="7"/>
  <c r="AT430" i="7"/>
  <c r="AT291" i="7"/>
  <c r="AT61" i="7"/>
  <c r="AT350" i="7"/>
  <c r="AT60" i="7"/>
  <c r="AT238" i="7"/>
  <c r="AT71" i="7"/>
  <c r="AT45" i="7"/>
  <c r="AT432" i="7"/>
  <c r="AT358" i="7"/>
  <c r="AT303" i="7"/>
  <c r="AT207" i="7"/>
  <c r="AT171" i="7"/>
  <c r="AT44" i="7"/>
  <c r="AT46" i="7"/>
  <c r="AT454" i="7"/>
  <c r="AT392" i="7"/>
  <c r="AT312" i="7"/>
  <c r="AT412" i="7"/>
  <c r="AT354" i="7"/>
  <c r="AT274" i="7"/>
  <c r="AT163" i="7"/>
  <c r="S19" i="7"/>
  <c r="O19" i="7"/>
  <c r="AT47" i="7"/>
  <c r="AT130" i="7"/>
  <c r="AT211" i="7"/>
  <c r="AT281" i="7"/>
  <c r="AT336" i="7"/>
  <c r="AT383" i="7"/>
  <c r="AT443" i="7"/>
  <c r="AT33" i="7"/>
  <c r="AT64" i="7"/>
  <c r="AT175" i="7"/>
  <c r="AT204" i="7"/>
  <c r="AT266" i="7"/>
  <c r="AT323" i="7"/>
  <c r="AT375" i="7"/>
  <c r="AT429" i="7"/>
  <c r="AT492" i="7"/>
  <c r="AT49" i="7"/>
  <c r="AT161" i="7"/>
  <c r="AT299" i="7"/>
  <c r="AT352" i="7"/>
  <c r="AT403" i="7"/>
  <c r="AT463" i="7"/>
  <c r="AT62" i="7"/>
  <c r="AT394" i="7"/>
  <c r="AT525" i="7"/>
  <c r="AT664" i="7"/>
  <c r="AT688" i="7"/>
  <c r="AT764" i="7"/>
  <c r="AT66" i="7"/>
  <c r="AT162" i="7"/>
  <c r="AT268" i="7"/>
  <c r="AT377" i="7"/>
  <c r="AT484" i="7"/>
  <c r="AT521" i="7"/>
  <c r="AT542" i="7"/>
  <c r="AT572" i="7"/>
  <c r="AT653" i="7"/>
  <c r="AT669" i="7"/>
  <c r="AT685" i="7"/>
  <c r="AT717" i="7"/>
  <c r="AT753" i="7"/>
  <c r="AT54" i="7"/>
  <c r="AT129" i="7"/>
  <c r="AT335" i="7"/>
  <c r="AT460" i="7"/>
  <c r="AT514" i="7"/>
  <c r="AT539" i="7"/>
  <c r="AT555" i="7"/>
  <c r="AT569" i="7"/>
  <c r="AT583" i="7"/>
  <c r="AT650" i="7"/>
  <c r="AT666" i="7"/>
  <c r="AT682" i="7"/>
  <c r="AT58" i="7"/>
  <c r="AT361" i="7"/>
  <c r="AT552" i="7"/>
  <c r="AT32" i="7"/>
  <c r="AT55" i="7"/>
  <c r="AT75" i="7"/>
  <c r="AT134" i="7"/>
  <c r="AT174" i="7"/>
  <c r="AT199" i="7"/>
  <c r="AT242" i="7"/>
  <c r="AT289" i="7"/>
  <c r="AT311" i="7"/>
  <c r="AT344" i="7"/>
  <c r="AT369" i="7"/>
  <c r="AT391" i="7"/>
  <c r="AT417" i="7"/>
  <c r="AT449" i="7"/>
  <c r="AT23" i="7"/>
  <c r="AT37" i="7"/>
  <c r="AT52" i="7"/>
  <c r="AT68" i="7"/>
  <c r="AT127" i="7"/>
  <c r="AT164" i="7"/>
  <c r="AT208" i="7"/>
  <c r="AT233" i="7"/>
  <c r="AT275" i="7"/>
  <c r="AT304" i="7"/>
  <c r="AT327" i="7"/>
  <c r="AT355" i="7"/>
  <c r="AT379" i="7"/>
  <c r="AT409" i="7"/>
  <c r="AT433" i="7"/>
  <c r="AT462" i="7"/>
  <c r="AT496" i="7"/>
  <c r="AT34" i="7"/>
  <c r="AT53" i="7"/>
  <c r="AT69" i="7"/>
  <c r="AT128" i="7"/>
  <c r="AT165" i="7"/>
  <c r="AT205" i="7"/>
  <c r="AT230" i="7"/>
  <c r="AT276" i="7"/>
  <c r="AT305" i="7"/>
  <c r="AT334" i="7"/>
  <c r="AT356" i="7"/>
  <c r="AT380" i="7"/>
  <c r="AT410" i="7"/>
  <c r="AT445" i="7"/>
  <c r="AT489" i="7"/>
  <c r="AT511" i="7"/>
  <c r="AT137" i="7"/>
  <c r="AT206" i="7"/>
  <c r="AT321" i="7"/>
  <c r="AT425" i="7"/>
  <c r="AT506" i="7"/>
  <c r="AT533" i="7"/>
  <c r="AT549" i="7"/>
  <c r="AT566" i="7"/>
  <c r="AT581" i="7"/>
  <c r="AT40" i="7"/>
  <c r="AT59" i="7"/>
  <c r="AT138" i="7"/>
  <c r="AT203" i="7"/>
  <c r="AT246" i="7"/>
  <c r="AT297" i="7"/>
  <c r="AT322" i="7"/>
  <c r="AT349" i="7"/>
  <c r="AT374" i="7"/>
  <c r="AT399" i="7"/>
  <c r="AT426" i="7"/>
  <c r="AT453" i="7"/>
  <c r="AT27" i="7"/>
  <c r="AT41" i="7"/>
  <c r="AT56" i="7"/>
  <c r="AT72" i="7"/>
  <c r="AT131" i="7"/>
  <c r="AT168" i="7"/>
  <c r="AT239" i="7"/>
  <c r="AT282" i="7"/>
  <c r="AT308" i="7"/>
  <c r="AT339" i="7"/>
  <c r="AT359" i="7"/>
  <c r="AT384" i="7"/>
  <c r="AT414" i="7"/>
  <c r="AT444" i="7"/>
  <c r="AT471" i="7"/>
  <c r="AT24" i="7"/>
  <c r="AT42" i="7"/>
  <c r="AT57" i="7"/>
  <c r="AT73" i="7"/>
  <c r="AT132" i="7"/>
  <c r="AT169" i="7"/>
  <c r="AT209" i="7"/>
  <c r="AT236" i="7"/>
  <c r="AT283" i="7"/>
  <c r="AT309" i="7"/>
  <c r="AT340" i="7"/>
  <c r="AT360" i="7"/>
  <c r="AT385" i="7"/>
  <c r="AT415" i="7"/>
  <c r="AT451" i="7"/>
  <c r="AT493" i="7"/>
  <c r="AT35" i="7"/>
  <c r="AT170" i="7"/>
  <c r="AT231" i="7"/>
  <c r="AT347" i="7"/>
  <c r="AT446" i="7"/>
  <c r="AT512" i="7"/>
  <c r="AT537" i="7"/>
  <c r="AT553" i="7"/>
  <c r="AT571" i="7"/>
  <c r="AT652" i="7"/>
  <c r="AT668" i="7"/>
  <c r="AT684" i="7"/>
  <c r="AT760" i="7"/>
  <c r="AT25" i="7"/>
  <c r="AT173" i="7"/>
  <c r="AT237" i="7"/>
  <c r="AT126" i="7"/>
  <c r="AT67" i="7"/>
  <c r="AT51" i="7"/>
  <c r="AT36" i="7"/>
  <c r="AT26" i="7"/>
  <c r="L19" i="7"/>
  <c r="E19" i="7"/>
  <c r="G19" i="7"/>
  <c r="AE19" i="7"/>
  <c r="AB19" i="7"/>
  <c r="X19" i="7"/>
  <c r="T19" i="7"/>
  <c r="AA19" i="7"/>
  <c r="P19" i="7"/>
  <c r="H19" i="7"/>
  <c r="Q19" i="7"/>
  <c r="I19" i="7"/>
  <c r="M19" i="7"/>
  <c r="AD19" i="7"/>
  <c r="Y19" i="7"/>
  <c r="N19" i="7"/>
  <c r="U19" i="7"/>
  <c r="K19" i="7"/>
  <c r="F19" i="7"/>
  <c r="V19" i="7"/>
  <c r="J19" i="7"/>
  <c r="Z19" i="7"/>
  <c r="B13" i="8" l="1"/>
  <c r="B896" i="7"/>
  <c r="B535" i="7"/>
  <c r="B22" i="7"/>
  <c r="AE27" i="8" l="1"/>
  <c r="AE56" i="8"/>
  <c r="AE54" i="8" s="1"/>
  <c r="AE32" i="8"/>
  <c r="AE18" i="8"/>
  <c r="AE53" i="8"/>
  <c r="AE51" i="8"/>
  <c r="AE47" i="8"/>
  <c r="AE46" i="8"/>
  <c r="AE45" i="8"/>
  <c r="AE43" i="8"/>
  <c r="AE41" i="8"/>
  <c r="AE39" i="8"/>
  <c r="AE38" i="8"/>
  <c r="AE35" i="8"/>
  <c r="AE34" i="8"/>
  <c r="AE31" i="8"/>
  <c r="AE29" i="8"/>
  <c r="AE25" i="8"/>
  <c r="AE17" i="8"/>
  <c r="AE16" i="8"/>
  <c r="AE15" i="8"/>
  <c r="AE13" i="8"/>
  <c r="AE14" i="8" l="1"/>
  <c r="AC1031" i="7"/>
  <c r="AC894" i="7" s="1"/>
  <c r="D1031" i="7" l="1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F27" i="8"/>
  <c r="F26" i="8" s="1"/>
  <c r="E26" i="8"/>
  <c r="G12" i="8" l="1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D895" i="7" l="1"/>
  <c r="D21" i="7" l="1"/>
  <c r="D894" i="7"/>
  <c r="D533" i="7"/>
  <c r="K55" i="9"/>
  <c r="K53" i="9" s="1"/>
  <c r="K52" i="9"/>
  <c r="K50" i="9"/>
  <c r="K48" i="9"/>
  <c r="K46" i="9"/>
  <c r="K45" i="9"/>
  <c r="K44" i="9"/>
  <c r="K42" i="9"/>
  <c r="K40" i="9"/>
  <c r="K38" i="9"/>
  <c r="K37" i="9"/>
  <c r="K36" i="9"/>
  <c r="K33" i="9"/>
  <c r="K31" i="9"/>
  <c r="K30" i="9"/>
  <c r="K28" i="9"/>
  <c r="K24" i="9"/>
  <c r="K17" i="9"/>
  <c r="K16" i="9"/>
  <c r="K15" i="9"/>
  <c r="K14" i="9"/>
  <c r="K13" i="9" s="1"/>
  <c r="K12" i="9"/>
  <c r="K11" i="9" s="1"/>
  <c r="K29" i="9" l="1"/>
  <c r="K43" i="9"/>
  <c r="J57" i="9"/>
  <c r="K57" i="9"/>
  <c r="L57" i="9"/>
  <c r="I57" i="9"/>
  <c r="P57" i="9" s="1"/>
  <c r="J51" i="9"/>
  <c r="K51" i="9"/>
  <c r="L51" i="9"/>
  <c r="I51" i="9"/>
  <c r="P51" i="9" s="1"/>
  <c r="J49" i="9"/>
  <c r="K49" i="9"/>
  <c r="L49" i="9"/>
  <c r="I49" i="9"/>
  <c r="P49" i="9" s="1"/>
  <c r="J47" i="9"/>
  <c r="K47" i="9"/>
  <c r="L47" i="9"/>
  <c r="I47" i="9"/>
  <c r="P47" i="9" s="1"/>
  <c r="J41" i="9"/>
  <c r="K41" i="9"/>
  <c r="L41" i="9"/>
  <c r="I41" i="9"/>
  <c r="P41" i="9" s="1"/>
  <c r="J39" i="9"/>
  <c r="K39" i="9"/>
  <c r="L39" i="9"/>
  <c r="I39" i="9"/>
  <c r="P39" i="9" s="1"/>
  <c r="J35" i="9"/>
  <c r="K35" i="9"/>
  <c r="L35" i="9"/>
  <c r="I35" i="9"/>
  <c r="P35" i="9" s="1"/>
  <c r="J32" i="9"/>
  <c r="K32" i="9"/>
  <c r="L32" i="9"/>
  <c r="I32" i="9"/>
  <c r="P32" i="9" s="1"/>
  <c r="J27" i="9"/>
  <c r="K27" i="9"/>
  <c r="L27" i="9"/>
  <c r="I27" i="9"/>
  <c r="P27" i="9" s="1"/>
  <c r="J23" i="9"/>
  <c r="J10" i="9" s="1"/>
  <c r="K23" i="9"/>
  <c r="L23" i="9"/>
  <c r="L10" i="9" s="1"/>
  <c r="I23" i="9"/>
  <c r="P23" i="9" s="1"/>
  <c r="K10" i="9" l="1"/>
  <c r="I10" i="9"/>
  <c r="P10" i="9" s="1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E40" i="8"/>
  <c r="E36" i="8" s="1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G30" i="8"/>
  <c r="H30" i="8"/>
  <c r="I30" i="8"/>
  <c r="J30" i="8"/>
  <c r="K30" i="8"/>
  <c r="L30" i="8"/>
  <c r="M30" i="8"/>
  <c r="N30" i="8"/>
  <c r="O30" i="8"/>
  <c r="P30" i="8"/>
  <c r="Q30" i="8"/>
  <c r="R30" i="8"/>
  <c r="S30" i="8"/>
  <c r="T30" i="8"/>
  <c r="U30" i="8"/>
  <c r="V30" i="8"/>
  <c r="W30" i="8"/>
  <c r="X30" i="8"/>
  <c r="Y30" i="8"/>
  <c r="Z30" i="8"/>
  <c r="AA30" i="8"/>
  <c r="AB30" i="8"/>
  <c r="AC30" i="8"/>
  <c r="AD30" i="8"/>
  <c r="AE30" i="8"/>
  <c r="AF30" i="8"/>
  <c r="AG30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G48" i="8"/>
  <c r="H48" i="8"/>
  <c r="I48" i="8"/>
  <c r="J48" i="8"/>
  <c r="K48" i="8"/>
  <c r="L48" i="8"/>
  <c r="M48" i="8"/>
  <c r="N48" i="8"/>
  <c r="O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E44" i="8"/>
  <c r="E58" i="8"/>
  <c r="E52" i="8"/>
  <c r="E48" i="8"/>
  <c r="E50" i="8"/>
  <c r="E42" i="8"/>
  <c r="E33" i="8"/>
  <c r="E30" i="8"/>
  <c r="E28" i="8"/>
  <c r="E24" i="8"/>
  <c r="E12" i="8"/>
  <c r="F15" i="8"/>
  <c r="F16" i="8"/>
  <c r="F17" i="8"/>
  <c r="F18" i="8"/>
  <c r="F25" i="8"/>
  <c r="F24" i="8" s="1"/>
  <c r="F29" i="8"/>
  <c r="F28" i="8" s="1"/>
  <c r="F31" i="8"/>
  <c r="F32" i="8"/>
  <c r="F34" i="8"/>
  <c r="F35" i="8"/>
  <c r="F37" i="8"/>
  <c r="F38" i="8"/>
  <c r="F39" i="8"/>
  <c r="F41" i="8"/>
  <c r="F40" i="8" s="1"/>
  <c r="F43" i="8"/>
  <c r="F42" i="8" s="1"/>
  <c r="F45" i="8"/>
  <c r="F46" i="8"/>
  <c r="F47" i="8"/>
  <c r="F51" i="8"/>
  <c r="F50" i="8" s="1"/>
  <c r="F53" i="8"/>
  <c r="F52" i="8" s="1"/>
  <c r="F58" i="8"/>
  <c r="F13" i="8"/>
  <c r="F12" i="8" s="1"/>
  <c r="F14" i="8" l="1"/>
  <c r="AD11" i="8"/>
  <c r="Z11" i="8"/>
  <c r="V11" i="8"/>
  <c r="R11" i="8"/>
  <c r="N11" i="8"/>
  <c r="J11" i="8"/>
  <c r="Y11" i="8"/>
  <c r="Q11" i="8"/>
  <c r="I11" i="8"/>
  <c r="AG11" i="8"/>
  <c r="U11" i="8"/>
  <c r="M11" i="8"/>
  <c r="AF11" i="8"/>
  <c r="AB11" i="8"/>
  <c r="X11" i="8"/>
  <c r="T11" i="8"/>
  <c r="L11" i="8"/>
  <c r="H11" i="8"/>
  <c r="AC11" i="8"/>
  <c r="AE11" i="8"/>
  <c r="AA11" i="8"/>
  <c r="W11" i="8"/>
  <c r="S11" i="8"/>
  <c r="O11" i="8"/>
  <c r="K11" i="8"/>
  <c r="G11" i="8"/>
  <c r="F36" i="8"/>
  <c r="E11" i="8"/>
  <c r="F44" i="8"/>
  <c r="F30" i="8"/>
  <c r="F33" i="8"/>
  <c r="P56" i="8"/>
  <c r="P54" i="8" s="1"/>
  <c r="F49" i="8" l="1"/>
  <c r="F48" i="8" s="1"/>
  <c r="P48" i="8"/>
  <c r="P11" i="8" s="1"/>
  <c r="F56" i="8"/>
  <c r="F54" i="8" s="1"/>
  <c r="F11" i="8" l="1"/>
  <c r="E136" i="5"/>
  <c r="D136" i="5"/>
  <c r="F136" i="5"/>
  <c r="C136" i="5"/>
  <c r="F10" i="5" l="1"/>
  <c r="C10" i="5"/>
  <c r="D10" i="5"/>
  <c r="E10" i="5" l="1"/>
  <c r="C9" i="4" l="1"/>
  <c r="C16" i="4"/>
  <c r="C23" i="4"/>
  <c r="AC378" i="7"/>
  <c r="R20" i="7"/>
  <c r="R19" i="7" s="1"/>
  <c r="AC376" i="7" l="1"/>
  <c r="AC20" i="7" s="1"/>
  <c r="AC19" i="7" s="1"/>
  <c r="D378" i="7"/>
  <c r="D376" i="7" s="1"/>
  <c r="D20" i="7" l="1"/>
  <c r="D19" i="7" s="1"/>
  <c r="CD376" i="7"/>
</calcChain>
</file>

<file path=xl/sharedStrings.xml><?xml version="1.0" encoding="utf-8"?>
<sst xmlns="http://schemas.openxmlformats.org/spreadsheetml/2006/main" count="10004" uniqueCount="1515">
  <si>
    <t>Гусь-Хрустальный р-н, Вашутино д, Микрорайон ул, 3</t>
  </si>
  <si>
    <t>Гусь-Хрустальный р-н, Великодворский п, Песочная ул, 20</t>
  </si>
  <si>
    <t>Гусь-Хрустальный р-н, Добрятино п, Ленина ул, 2а</t>
  </si>
  <si>
    <t>Гусь-Хрустальный р-н, Иванищи п, Фрунзе ул, 1а</t>
  </si>
  <si>
    <t>Гусь-Хрустальный р-н, Курлово г, Володарского ул, 5</t>
  </si>
  <si>
    <t>Гусь-Хрустальный р-н, Никулино д, Центральная ул, 19А</t>
  </si>
  <si>
    <t>№ п/п</t>
  </si>
  <si>
    <t>Адрес многоквартирного дома
(далее - МКД)</t>
  </si>
  <si>
    <t>Стоимость капитального ремонта ВСЕГО</t>
  </si>
  <si>
    <t>виды, установленные нормативным правовым актом субъекта РФ</t>
  </si>
  <si>
    <t xml:space="preserve">Срок выполнения проектной документации </t>
  </si>
  <si>
    <t>Срок выполнения запланированных строительно - монтажных работ (уточняется по видам)</t>
  </si>
  <si>
    <t>Срок оказания услуги по строительному контролю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</si>
  <si>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</si>
  <si>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</si>
  <si>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</si>
  <si>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</si>
  <si>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</si>
  <si>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</si>
  <si>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замена плоской кровли на стропильную</t>
  </si>
  <si>
    <t>капитальный ремонт внутридомовых инженерных систем вентиляции и дымоудаления при капитальном ремонте крыш</t>
  </si>
  <si>
    <t>ремонт внутридомовых инженерных систем теплоснабжения с заменой отопительных приборов (радиаторов) в местах общего пользования и отопительных приборов (радиаторов), расположенных в жилых помещениях, не имеющих отключающих устройств</t>
  </si>
  <si>
    <t>устройство вновь выгребных ям или отстойников с биологической очисткой сточных вод (септиков) при отсутствии централизованной системы канализации</t>
  </si>
  <si>
    <t>утепление фасадов</t>
  </si>
  <si>
    <t>ремонт выпусков системы водоотведения до первого смотрового колодца при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</si>
  <si>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(тепловой энергии, горячей и холодной воды, электрической энергии, газа), с оборудованием устройств автоматизации и диспетчеризации, при проведении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</si>
  <si>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ремонта внутридомовых инженерных систем теплоснабжения</t>
  </si>
  <si>
    <t>строительный контроль</t>
  </si>
  <si>
    <t>разработка проектной документации</t>
  </si>
  <si>
    <t>авторский надзор при выполнении работ по МКД, имеющих статус объекта культурного наследия (памятника истории и культуры) народов РФ</t>
  </si>
  <si>
    <t>ремонт сетей ХВС</t>
  </si>
  <si>
    <t>ремонт сетей ГВС</t>
  </si>
  <si>
    <t>ремонт сетей теплоснабжения</t>
  </si>
  <si>
    <t>ремонт систем водоотведения</t>
  </si>
  <si>
    <t>ремонт сетей электроснабжения</t>
  </si>
  <si>
    <t>ремонт сетей газоснабжения</t>
  </si>
  <si>
    <t>руб.</t>
  </si>
  <si>
    <t>ед.</t>
  </si>
  <si>
    <t>кв.м</t>
  </si>
  <si>
    <t>куб.м</t>
  </si>
  <si>
    <t>Петушинский р-н, Сосновый Бор п, Центральная ул, 8</t>
  </si>
  <si>
    <t>Петушинский р-н, Вольгинский п, Новосеменковская ул, 4</t>
  </si>
  <si>
    <t>Петушинский р-н, Городищи п, К.Соловьева ул, 2</t>
  </si>
  <si>
    <t>Петушинский р-н, Костерево г, 40 лет Октября ул, 6</t>
  </si>
  <si>
    <t>Петушинский р-н, Костерево г, им Горького ул, 7</t>
  </si>
  <si>
    <t>Петушинский р-н, Костерево г, им Горького ул, 11</t>
  </si>
  <si>
    <t>Петушинский р-н, Покров г, 3 Интернационала ул, 64а</t>
  </si>
  <si>
    <t>Петушинский р-н, Покров г, Больничный проезд, 21</t>
  </si>
  <si>
    <t>Петушинский р-н, Покров г, Школьный проезд, 1</t>
  </si>
  <si>
    <t>Петушки г, Лесная ул, 16</t>
  </si>
  <si>
    <t>Петушки г, Советская пл, 1</t>
  </si>
  <si>
    <t>Петушки г, Спортивная ул, 6</t>
  </si>
  <si>
    <t>Петушки г, Трудовая ул, 6</t>
  </si>
  <si>
    <t>Петушинский р-н, Вольгинский п, Старовская ул, 16</t>
  </si>
  <si>
    <t>Петушинский р-н, Городищи п, Ленина ул, 3</t>
  </si>
  <si>
    <t>Петушинский р-н, Костерево г, Бормино ул, 58</t>
  </si>
  <si>
    <t>Петушинский р-н, Новое Аннино д, Центральная ул, 1</t>
  </si>
  <si>
    <t>Петушинский р-н, Покров г, Больничный проезд, 18</t>
  </si>
  <si>
    <t>Петушинский р-н, Санино д, Лесная ул, 171</t>
  </si>
  <si>
    <t>Петушки г, Лесная ул, 15</t>
  </si>
  <si>
    <t>Петушки г, Лесная ул, 18</t>
  </si>
  <si>
    <t>Петушки г, Маяковского ул, 21</t>
  </si>
  <si>
    <t>Петушки г, Профсоюзная ул, 14</t>
  </si>
  <si>
    <t>Петушки г, Профсоюзная ул, 14а</t>
  </si>
  <si>
    <t>Петушинский р-н, Вольгинский п, Старовская ул, 14</t>
  </si>
  <si>
    <t>Петушинский р-н, Городищи п, Советская ул, 45а</t>
  </si>
  <si>
    <t>Петушинский р-н, Костерево г, Писцова ул, 56</t>
  </si>
  <si>
    <t>Петушинский р-н, Нагорный п, Владимирская ул, 8</t>
  </si>
  <si>
    <t>Петушинский р-н, Покров г, 3 Интернационала ул, 49</t>
  </si>
  <si>
    <t>Петушинский р-н, Покров г, 3 Интернационала ул, 55</t>
  </si>
  <si>
    <t>Петушинский р-н, Покров г, Пролетарская ул, 5</t>
  </si>
  <si>
    <t>Петушинский р-н, Труд п, Советская ул, 3</t>
  </si>
  <si>
    <t>Петушки г, Зеленая ул, 22</t>
  </si>
  <si>
    <t>Петушки г, Лесная ул, 2а</t>
  </si>
  <si>
    <t>Петушки г, Лесная ул, 13</t>
  </si>
  <si>
    <t>Кольчугино г, 50 лет Октября ул, 10</t>
  </si>
  <si>
    <t>Кольчугино г, Дружбы ул, 4</t>
  </si>
  <si>
    <t>Кольчугино г, Ленина ул, 12</t>
  </si>
  <si>
    <t>Кольчугинский р-н, Раздолье п, Новоселов ул, 2</t>
  </si>
  <si>
    <t>Кольчугино г, 3 Интернационала ул, 81</t>
  </si>
  <si>
    <t>Кольчугино г, 50 лет Октября ул, 12</t>
  </si>
  <si>
    <t>Кольчугино г, Котовского ул, 23</t>
  </si>
  <si>
    <t>Кольчугино г, Щорса ул, 9</t>
  </si>
  <si>
    <t>Кольчугинский р-н, Бавлены п, Центральная ул, 15</t>
  </si>
  <si>
    <t>Кольчугинский р-н, Бавлены п, Центральная ул, 15А</t>
  </si>
  <si>
    <t>Кольчугинский р-н, Золотуха п, Пятнадцатая ул, 3</t>
  </si>
  <si>
    <t>Кольчугино г, Алексеева ул, 8</t>
  </si>
  <si>
    <t>Кольчугино г, КИМ ул, 6</t>
  </si>
  <si>
    <t>Кольчугино г, Чапаева ул, 3</t>
  </si>
  <si>
    <t>Кольчугинский р-н, Металлист п, Молодежная ул, 1</t>
  </si>
  <si>
    <t>Кольчугинский р-н, Раздолье п, Новоселов ул, 3</t>
  </si>
  <si>
    <t>Судогда г, Бякова ул, 30</t>
  </si>
  <si>
    <t>Судогда г, Ленина ул, 74</t>
  </si>
  <si>
    <t>Судогодский р-н, Андреево п, Первомайская ул, 9</t>
  </si>
  <si>
    <t>Судогодский р-н, Головино п, Радужная ул, 1</t>
  </si>
  <si>
    <t>Судогодский р-н, Мошок с, Заводская ул, 8</t>
  </si>
  <si>
    <t>Судогодский р-н, Муромцево п, Комсомольская ул, 9</t>
  </si>
  <si>
    <t>Судогда г, Коммунистическая ул, 3</t>
  </si>
  <si>
    <t>Судогда г, Ленина ул, 70</t>
  </si>
  <si>
    <t>Судогодский р-н, Головино п, Радужная ул, 2</t>
  </si>
  <si>
    <t>Судогодский р-н, Коняево п, 44</t>
  </si>
  <si>
    <t>Судогодский р-н, Муромцево п, Комсомольская ул, 10а</t>
  </si>
  <si>
    <t>Судогда г, Гагарина ул, 7а</t>
  </si>
  <si>
    <t>Судогда г, Коммунистическая ул, 6</t>
  </si>
  <si>
    <t>Судогодский р-н, Головино п, Радужная ул, 11</t>
  </si>
  <si>
    <t>Судогодский р-н, им Воровского п, Спортивная ул, 6</t>
  </si>
  <si>
    <t>Судогодский р-н, им Воровского п, Спортивная ул, 11</t>
  </si>
  <si>
    <t>Судогодский р-н, Ликино с, Лесная ул, 7</t>
  </si>
  <si>
    <t>Меленки г, Валентины Суздальцевой ул, 27</t>
  </si>
  <si>
    <t>Меленки г, Дзержинского ул, 42</t>
  </si>
  <si>
    <t>Меленки г, Коминтерна ул, 211</t>
  </si>
  <si>
    <t>Меленки г, Красноармейская ул, 204</t>
  </si>
  <si>
    <t>Меленковский р-н, Дмитриевы Горы с, Первомайская ул, 80</t>
  </si>
  <si>
    <t>Меленковский р-н, Дмитриевы Горы с, Первомайская ул, 82</t>
  </si>
  <si>
    <t>Меленковский р-н, Ляхи с, Климова ул, 2</t>
  </si>
  <si>
    <t>Киржач г, Гастелло ул, 7</t>
  </si>
  <si>
    <t>Киржач г, Денисенко ул, 15</t>
  </si>
  <si>
    <t>Киржач г, Красный Октябрь мкр, Южный кв-л, 3</t>
  </si>
  <si>
    <t>Киржач г, Красный Октябрь мкр, Южный кв-л, 6</t>
  </si>
  <si>
    <t>Киржач г, М.Расковой ул, 17</t>
  </si>
  <si>
    <t>Киржач г, Совхозная ул, 2</t>
  </si>
  <si>
    <t>Киржач г, Томаровича ул, 5</t>
  </si>
  <si>
    <t>Киржачский р-н, Кашино д, Кашино п. тер, 136</t>
  </si>
  <si>
    <t>Киржачский р-н, Новоселово д, Ленинская ул, 7</t>
  </si>
  <si>
    <t>Киржачский р-н, Федоровское д, Советская ул, 19</t>
  </si>
  <si>
    <t>Киржач г, Добровольского ул, 20</t>
  </si>
  <si>
    <t>Киржач г, Красный Октябрь мкр, Солнечный кв-л, 1</t>
  </si>
  <si>
    <t>Киржач г, Красный Октябрь мкр, Солнечный кв-л, 8</t>
  </si>
  <si>
    <t>Киржач г, Магистральная ул, 2</t>
  </si>
  <si>
    <t>Киржач г, Морозовская ул, 120</t>
  </si>
  <si>
    <t>Киржач г, Привокзальная ул, 9</t>
  </si>
  <si>
    <t>Киржач г, Приозерная ул, 1в</t>
  </si>
  <si>
    <t>Киржач г, Свобода ул, 113</t>
  </si>
  <si>
    <t>Киржач г, Большая Московская ул, 1а</t>
  </si>
  <si>
    <t>Киржач г, Красный Октябрь мкр, Октябрьская ул, 11</t>
  </si>
  <si>
    <t>Киржач г, Красный Октябрь мкр, Солнечный кв-л, 2</t>
  </si>
  <si>
    <t>Киржач г, Павловского ул, 36</t>
  </si>
  <si>
    <t>Киржач г, Прибрежный кв-л, 2</t>
  </si>
  <si>
    <t>Киржач г, Станционная ул, 65</t>
  </si>
  <si>
    <t>Собинка г, Гагарина ул, 9</t>
  </si>
  <si>
    <t>Собинка г, Гагарина ул, 14</t>
  </si>
  <si>
    <t>Собинка г, Мира ул, 3</t>
  </si>
  <si>
    <t>Собинский р-н, Ворша с, Молодежная ул, 15</t>
  </si>
  <si>
    <t>Собинский р-н, Лакинск г, 21 Партсъезда ул, 15</t>
  </si>
  <si>
    <t>Собинский р-н, Лакинск г, 21 Партсъезда ул, 22</t>
  </si>
  <si>
    <t>Собинский р-н, Ставрово п, Механизаторов ул, 9</t>
  </si>
  <si>
    <t>Собинский р-н, Ставрово п, Советская ул, 88</t>
  </si>
  <si>
    <t>Собинский р-н, Черкутино с, Им В.А.Солоухина ул, 2</t>
  </si>
  <si>
    <t>Собинский р-н, Лакинск г, 10 Октября ул, 2</t>
  </si>
  <si>
    <t>Собинка г, Гагарина ул, 12</t>
  </si>
  <si>
    <t>Собинка г, Родниковская ул, 22</t>
  </si>
  <si>
    <t>Собинка г, Шибаева ул, 21</t>
  </si>
  <si>
    <t>Собинский р-н, Бабаево с, Молодежная ул, 2</t>
  </si>
  <si>
    <t>Собинский р-н, Курилово д, Молодежная ул, 5</t>
  </si>
  <si>
    <t>Собинский р-н, Лакинск г, Лермонтова ул, 46</t>
  </si>
  <si>
    <t>Собинский р-н, Лакинск г, Лермонтова ул, 47</t>
  </si>
  <si>
    <t>Собинский р-н, Лакинск г, Мира ул, 95</t>
  </si>
  <si>
    <t>Собинский р-н, Ставрово п, Октябрьская ул, 126</t>
  </si>
  <si>
    <t>Собинский р-н, Толпухово д, Молодежная ул, 5</t>
  </si>
  <si>
    <t>Собинка г, Гоголя ул, 1А</t>
  </si>
  <si>
    <t>Собинка г, Гоголя ул, 1Б</t>
  </si>
  <si>
    <t>Собинка г, Мира ул, 11</t>
  </si>
  <si>
    <t>Собинка г, Шибаева ул, 18</t>
  </si>
  <si>
    <t>Собинский р-н, Заречное с, Парковая ул, 7</t>
  </si>
  <si>
    <t>Собинский р-н, Лакинск г, 21 Партсъезда ул, 4</t>
  </si>
  <si>
    <t>Собинский р-н, Лакинск г, 21 Партсъезда ул, 23</t>
  </si>
  <si>
    <t>Собинский р-н, Лакинск г, Мира ул, 101</t>
  </si>
  <si>
    <t>Собинский р-н, Ставрово п, Советская ул, 82</t>
  </si>
  <si>
    <t>Собинский р-н, Ставрово п, Юбилейная ул, 6</t>
  </si>
  <si>
    <t>Собинский р-н, Толпухово д, Молодежная ул, 4</t>
  </si>
  <si>
    <t>Собинский р-н, Толпухово д, Молодежная ул, 12</t>
  </si>
  <si>
    <t>Собинка г, Гагарина ул, 8</t>
  </si>
  <si>
    <t>Ковровский р-н, Клязьминский Городок с, Клязьминская ПМК ул, 15</t>
  </si>
  <si>
    <t>Ковровский р-н, Малыгино п, Юбилейная ул, 47</t>
  </si>
  <si>
    <t>Ковровский р-н, Мелехово пгт, Гагарина ул, 4</t>
  </si>
  <si>
    <t>Ковровский р-н, Мелехово пгт, Красная Горка ул, 2</t>
  </si>
  <si>
    <t>Ковровский р-н, Мелехово пгт, Первомайская ул, 53</t>
  </si>
  <si>
    <t>Ковровский р-н, Клязьминский Городок с, Клязьминская ПМК ул, 3</t>
  </si>
  <si>
    <t>Ковровский р-н, Ковров-35 городок, Центральная ул, 111</t>
  </si>
  <si>
    <t>Ковровский р-н, Малыгино п, Школьная ул, 55</t>
  </si>
  <si>
    <t>Ковровский р-н, Малыгино п, Юбилейная ул, 48</t>
  </si>
  <si>
    <t>Ковровский р-н, Нерехта п, Просторная ул, 2</t>
  </si>
  <si>
    <t>Ковровский р-н, Гигант п, Первомайская ул, 17</t>
  </si>
  <si>
    <t>Ковровский р-н, Глебово д, Школьная ул, 20</t>
  </si>
  <si>
    <t>Ковровский р-н, Достижение п, Кирпичная ул, 29</t>
  </si>
  <si>
    <t>Ковровский р-н, Мелехово пгт, Строительная ул, 3</t>
  </si>
  <si>
    <t>Ковровский р-н, Пакино п, Школьная ул, 29</t>
  </si>
  <si>
    <t>Ковровский р-н, подстанция Заря р-н, 1</t>
  </si>
  <si>
    <t>Ковровский р-н, Мелехово пгт, Школьный пер, 27</t>
  </si>
  <si>
    <t>Суздаль г, Ленина ул, 69</t>
  </si>
  <si>
    <t>Суздаль г, Ленина ул, 71</t>
  </si>
  <si>
    <t>Суздальский р-н, Красногвардейский п, Октябрьская ул, 5</t>
  </si>
  <si>
    <t>Суздальский р-н, Содышка п, Владимирская ул, 10</t>
  </si>
  <si>
    <t>Суздальский р-н, Сокол п, 4</t>
  </si>
  <si>
    <t>Суздаль г, Гоголя ул, 15</t>
  </si>
  <si>
    <t>Суздаль г, Ленина ул, 26</t>
  </si>
  <si>
    <t>Суздаль г, Советская ул, 4</t>
  </si>
  <si>
    <t>Суздальский р-н, Боголюбово п, Западная ул, 5</t>
  </si>
  <si>
    <t>Суздальский р-н, Цибеево с, Западная ул, 3</t>
  </si>
  <si>
    <t>Суздаль г, Гоголя ул, 11</t>
  </si>
  <si>
    <t>Суздаль г, Советская ул, 20</t>
  </si>
  <si>
    <t>Суздаль г, Советская ул, 39</t>
  </si>
  <si>
    <t>Суздальский р-н, Садовый п, Центральная ул, 4</t>
  </si>
  <si>
    <t>Муромский р-н, Фабрики им П.Л.Войкова п, 31</t>
  </si>
  <si>
    <t>Муромский р-н, Механизаторов п, 55а</t>
  </si>
  <si>
    <t>Муромский р-н, Механизаторов п, 60</t>
  </si>
  <si>
    <t>Муромский р-н, Механизаторов п, 64</t>
  </si>
  <si>
    <t>Муромский р-н, Муромский п, Садовая ул, 26</t>
  </si>
  <si>
    <t>Муромский р-н, Муромский п, Садовая ул, 27</t>
  </si>
  <si>
    <t>Муромский р-н, Муромский п, Садовая ул, 28</t>
  </si>
  <si>
    <t>Муромский р-н, Механизаторов п, 49</t>
  </si>
  <si>
    <t>Муромский р-н, Механизаторов п, 51</t>
  </si>
  <si>
    <t>Муромский р-н, Механизаторов п, 54</t>
  </si>
  <si>
    <t>Муромский р-н, Механизаторов п, 55</t>
  </si>
  <si>
    <t>Муромский р-н, Муромский п, Озёрная ул, 22</t>
  </si>
  <si>
    <t>Муромский р-н, Муромский п, Северная ул, 19</t>
  </si>
  <si>
    <t>Муромский р-н, Зимёнки п, Мира ул, 5</t>
  </si>
  <si>
    <t>Юрьев-Польский г, 1 Мая ул, 70</t>
  </si>
  <si>
    <t>Юрьев-Польский г, 1 Мая ул, 76</t>
  </si>
  <si>
    <t>Юрьев-Польский г, Артиллерийская ул, 34</t>
  </si>
  <si>
    <t>Юрьев-Польский г, Герцена ул, 4А</t>
  </si>
  <si>
    <t>Юрьев-Польский г, Луговая ул, 1</t>
  </si>
  <si>
    <t>Юрьев-Польский г, Луговая ул, 35</t>
  </si>
  <si>
    <t>Юрьев-Польский г, Свободы ул, 141</t>
  </si>
  <si>
    <t>Юрьев-Польский р-н, Горки с, Механическая ул, 2</t>
  </si>
  <si>
    <t>Юрьев-Польский р-н, Небылое с, Первомайская ул, 83</t>
  </si>
  <si>
    <t>Юрьев-Польский р-н, Небылое с, Школьная ул, 11</t>
  </si>
  <si>
    <t>Юрьев-Польский р-н, Небылое с, Школьная ул, 13</t>
  </si>
  <si>
    <t>Юрьев-Польский р-н, Пригородный с, 4</t>
  </si>
  <si>
    <t>Юрьев-Польский р-н, Сима с, Комсомольская ул, 6</t>
  </si>
  <si>
    <t>Юрьев-Польский р-н, Федоровское с, 69</t>
  </si>
  <si>
    <t>Юрьев-Польский р-н, Шихобалово с, 8</t>
  </si>
  <si>
    <t>Селивановский р-н, Красная Горбатка п, Первомайская ул, 102</t>
  </si>
  <si>
    <t>Селивановский р-н, Красная Горбатка п, Пионерская ул, 20</t>
  </si>
  <si>
    <t>Селивановский р-н, Красная Горбатка п, Свободы ул, 50</t>
  </si>
  <si>
    <t>Селивановский р-н, Красная Горбатка п, Северная ул, 77</t>
  </si>
  <si>
    <t>Селивановский р-н, Красная Ушна п, Заводская ул, 3</t>
  </si>
  <si>
    <t>Гороховец г, Гагарина ул, 37</t>
  </si>
  <si>
    <t>Гороховец г, Гагарина ул, 44</t>
  </si>
  <si>
    <t>Гороховец г, Горького ул, 50</t>
  </si>
  <si>
    <t>Гороховец г, Кирова ул, 9</t>
  </si>
  <si>
    <t>Гороховец г, Кутузова ул, 9</t>
  </si>
  <si>
    <t>Гороховец г, Ленина ул, 59</t>
  </si>
  <si>
    <t>Гороховец г, Мира ул, 4</t>
  </si>
  <si>
    <t>Гороховец г, Мира ул, 30</t>
  </si>
  <si>
    <t>Гороховец г, Строителей ул, 4</t>
  </si>
  <si>
    <t>Гороховец г, Строителей ул, 7</t>
  </si>
  <si>
    <t>Гороховецкий р-н, Васильчиково д, 23</t>
  </si>
  <si>
    <t>Гороховецкий р-н, Гришино с, Ленина ул, 56</t>
  </si>
  <si>
    <t>Гороховецкий р-н, Куприяново д, Дорожная ул, 5</t>
  </si>
  <si>
    <t>Гороховецкий р-н, Лучинки д, Лучинковская ул, 65</t>
  </si>
  <si>
    <t>Гороховецкий р-н, Пролетарский п, Октябрьская ул, 3</t>
  </si>
  <si>
    <t>Гороховецкий р-н, Торфопредприятия Большое п, Ленина ул, 7</t>
  </si>
  <si>
    <t>Гороховецкий р-н, Торфопредприятия Большое п, Ленина ул, 9</t>
  </si>
  <si>
    <t>Адрес многоквартирного дома 
(далее - МКД)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</si>
  <si>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</si>
  <si>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</si>
  <si>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</si>
  <si>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</si>
  <si>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</si>
  <si>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</si>
  <si>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Наименование организации, осуществляющей управление МКД</t>
  </si>
  <si>
    <t>Стоимость капитального ремонта</t>
  </si>
  <si>
    <t>Удельная стоимость капитального ремонта 1 кв. м. общей площади помещений МКД</t>
  </si>
  <si>
    <t>Предельная стоимость капитального ремонта 1 кв. м. общей площади помещений МКД</t>
  </si>
  <si>
    <t>ввода в эксплуатацию</t>
  </si>
  <si>
    <t>завершение последнего капитального ремонта</t>
  </si>
  <si>
    <t>всего:</t>
  </si>
  <si>
    <t>за счет средств бюджета субъекта Российской Федерации</t>
  </si>
  <si>
    <t>за счет средств местного бюджета</t>
  </si>
  <si>
    <t>чел.</t>
  </si>
  <si>
    <t>руб./кв.м</t>
  </si>
  <si>
    <t>РО</t>
  </si>
  <si>
    <t>НУ</t>
  </si>
  <si>
    <t>Каменные, кирпичные</t>
  </si>
  <si>
    <t>-</t>
  </si>
  <si>
    <t>УК</t>
  </si>
  <si>
    <t>МУП "Аэлита"</t>
  </si>
  <si>
    <t>ООО "УК Покров"</t>
  </si>
  <si>
    <t>ООО"Эксперт"</t>
  </si>
  <si>
    <t>ООО "ЖКХ г. Костерево"</t>
  </si>
  <si>
    <t>МУП "Инфраструктура и сервис"</t>
  </si>
  <si>
    <t>ООО УК "Наш дом"</t>
  </si>
  <si>
    <t>МУП "РСУ г. Петушки"</t>
  </si>
  <si>
    <t>ООО "Сфера"</t>
  </si>
  <si>
    <t>ООО "ЖЭУ №3"</t>
  </si>
  <si>
    <t>ООО "УК в ЖКХ в г. Кольчугино"</t>
  </si>
  <si>
    <t>ООО " Комфорт"</t>
  </si>
  <si>
    <t>ООО"НАШ ДОМ"</t>
  </si>
  <si>
    <t>ООО "Андреевская УК"</t>
  </si>
  <si>
    <t>МКП г. Судогда "Коммунальщик"</t>
  </si>
  <si>
    <t>БУ</t>
  </si>
  <si>
    <t>ООО" Монолит"</t>
  </si>
  <si>
    <t>ООО "УК"Наш Дом"</t>
  </si>
  <si>
    <t>ФУМП ЖКХ</t>
  </si>
  <si>
    <t xml:space="preserve">Панельные </t>
  </si>
  <si>
    <t>МУП ЖКХ "УК Собинского района"</t>
  </si>
  <si>
    <t>МУМП ЖКХ п.Ставрово</t>
  </si>
  <si>
    <t>ООО "ЖилСтрой"</t>
  </si>
  <si>
    <t>ЖК</t>
  </si>
  <si>
    <t>ЖСК ул. Мира,д.3</t>
  </si>
  <si>
    <t>ООО "Плазма"</t>
  </si>
  <si>
    <t>ООО УК "Пономарев С.А."</t>
  </si>
  <si>
    <t>ЖСК ул. Гагарина,д.12</t>
  </si>
  <si>
    <t>ООО УК Теплый дом</t>
  </si>
  <si>
    <t>ТСН</t>
  </si>
  <si>
    <t>"Уют"</t>
  </si>
  <si>
    <t>ЖСК</t>
  </si>
  <si>
    <t>ЖСК ул. Гоголя, д.1а</t>
  </si>
  <si>
    <t>ЖСК ул. Гоголя, д.1б</t>
  </si>
  <si>
    <t>ЖСК ул. Гагарина, д.8</t>
  </si>
  <si>
    <t>ЖСК ул. Гагарина, д.9</t>
  </si>
  <si>
    <t>1917</t>
  </si>
  <si>
    <t>2</t>
  </si>
  <si>
    <t>1</t>
  </si>
  <si>
    <t>1968</t>
  </si>
  <si>
    <t>1961</t>
  </si>
  <si>
    <t>1969</t>
  </si>
  <si>
    <t>4</t>
  </si>
  <si>
    <t>1975</t>
  </si>
  <si>
    <t>1982</t>
  </si>
  <si>
    <t>Панельные</t>
  </si>
  <si>
    <t>3</t>
  </si>
  <si>
    <t>1979</t>
  </si>
  <si>
    <t>1971</t>
  </si>
  <si>
    <t>1970</t>
  </si>
  <si>
    <t>1964</t>
  </si>
  <si>
    <t>1981</t>
  </si>
  <si>
    <t>Ж/б панели</t>
  </si>
  <si>
    <t>МУП "ЖКХ" ЗАТО г. Радужный</t>
  </si>
  <si>
    <t>МУП "ЖКХ" ЗАТО г. Радужный </t>
  </si>
  <si>
    <t>ООО "Домоуправ"</t>
  </si>
  <si>
    <t>ООО ДУК "Территория"</t>
  </si>
  <si>
    <t>1989</t>
  </si>
  <si>
    <t>Шлакоблочные</t>
  </si>
  <si>
    <t>ООО "Верба"</t>
  </si>
  <si>
    <t>ООО "Союз"</t>
  </si>
  <si>
    <t>ООО УК "Партнер"</t>
  </si>
  <si>
    <t>ООО "РЕМСТРОЙ Южный"</t>
  </si>
  <si>
    <t>1992</t>
  </si>
  <si>
    <t>Деревянные</t>
  </si>
  <si>
    <t>ООО УК "ТеплоСервис"</t>
  </si>
  <si>
    <t>ООО "Управляющая компания № 1"</t>
  </si>
  <si>
    <t>ООО "ГУК"</t>
  </si>
  <si>
    <t>ООО "Жилцентр"</t>
  </si>
  <si>
    <t>ООО "ДомСервис"</t>
  </si>
  <si>
    <t>Блочные</t>
  </si>
  <si>
    <t xml:space="preserve">УК </t>
  </si>
  <si>
    <t>Комсервис+</t>
  </si>
  <si>
    <t>Плес+</t>
  </si>
  <si>
    <t>ООО "Управляющая организация ремонтно-эксплуатационное управление № 1"</t>
  </si>
  <si>
    <t>ТСЖ</t>
  </si>
  <si>
    <t xml:space="preserve"> " Коммунистическая-2"</t>
  </si>
  <si>
    <t>"Новый-1"</t>
  </si>
  <si>
    <t>ООО "МКД-Сервис" </t>
  </si>
  <si>
    <t xml:space="preserve">ТСН </t>
  </si>
  <si>
    <t>"Надежда"</t>
  </si>
  <si>
    <t>ООО "Управляющая организация"</t>
  </si>
  <si>
    <t>"Дом - 27"</t>
  </si>
  <si>
    <t>ООО "МУПЖРЭП"</t>
  </si>
  <si>
    <t>ООО "Жилищник-Центр"</t>
  </si>
  <si>
    <t>5,7,9</t>
  </si>
  <si>
    <t>1976</t>
  </si>
  <si>
    <t>5</t>
  </si>
  <si>
    <t>1972</t>
  </si>
  <si>
    <t>1977</t>
  </si>
  <si>
    <t>1959</t>
  </si>
  <si>
    <t>1980</t>
  </si>
  <si>
    <t>1986</t>
  </si>
  <si>
    <t>9</t>
  </si>
  <si>
    <t>1958</t>
  </si>
  <si>
    <t>2002</t>
  </si>
  <si>
    <t>1990</t>
  </si>
  <si>
    <t>1962</t>
  </si>
  <si>
    <t>1912</t>
  </si>
  <si>
    <t>1941</t>
  </si>
  <si>
    <t>деревянные</t>
  </si>
  <si>
    <t>2007</t>
  </si>
  <si>
    <t>10</t>
  </si>
  <si>
    <t>1999</t>
  </si>
  <si>
    <t>1948</t>
  </si>
  <si>
    <t>1960</t>
  </si>
  <si>
    <t>1978</t>
  </si>
  <si>
    <t>1985</t>
  </si>
  <si>
    <t>1974</t>
  </si>
  <si>
    <t>6</t>
  </si>
  <si>
    <t>1987</t>
  </si>
  <si>
    <t>1956</t>
  </si>
  <si>
    <t>1983</t>
  </si>
  <si>
    <t>1966</t>
  </si>
  <si>
    <t>1994</t>
  </si>
  <si>
    <t>1988</t>
  </si>
  <si>
    <t>1973</t>
  </si>
  <si>
    <t>1963</t>
  </si>
  <si>
    <t>1965</t>
  </si>
  <si>
    <t>ТСН Сущевская-7</t>
  </si>
  <si>
    <t>1991</t>
  </si>
  <si>
    <t>Радужный г, 1-й кв-л, 13</t>
  </si>
  <si>
    <t>Радужный г, 1-й кв-л, 37</t>
  </si>
  <si>
    <t>Радужный г, 3-й кв-л, 19</t>
  </si>
  <si>
    <t>Радужный г, 1-й кв-л, 26</t>
  </si>
  <si>
    <t>Радужный г, 1-й кв-л, 21</t>
  </si>
  <si>
    <t>Радужный г, 1-й кв-л, 7</t>
  </si>
  <si>
    <t>Радужный г, 1-й кв-л, 12А</t>
  </si>
  <si>
    <t>Радужный г, 3-й кв-л, 29</t>
  </si>
  <si>
    <t>Муром г, Владимирская ул, 37</t>
  </si>
  <si>
    <t>Муром г, Владимирская ул, 2</t>
  </si>
  <si>
    <t>Муром г, Гоголева ул, 10</t>
  </si>
  <si>
    <t>Муром г, Дзержинского ул, 45</t>
  </si>
  <si>
    <t>Муром г, Комсомольская ул, 51</t>
  </si>
  <si>
    <t>Муром г, Куйбышева ул, 2</t>
  </si>
  <si>
    <t>Муром г, Куликова ул, 5</t>
  </si>
  <si>
    <t>Муром г, Лаврентьева ул, 42 корп. 2</t>
  </si>
  <si>
    <t>Муром г, Ленинградская ул, 34/6</t>
  </si>
  <si>
    <t>Муром г, Льва Толстого ул, 57</t>
  </si>
  <si>
    <t>Муром г, Мичуринская ул, 19</t>
  </si>
  <si>
    <t>Муром г, Муромская ул, 15</t>
  </si>
  <si>
    <t>Муром г, Первомайская ул, 84</t>
  </si>
  <si>
    <t>Муром г, Щербакова ул, 25</t>
  </si>
  <si>
    <t>Муром г, Энгельса ул, 5</t>
  </si>
  <si>
    <t>Муром г, Владимирская ул, 35а</t>
  </si>
  <si>
    <t>Муром г, Дзержинского ул, 4</t>
  </si>
  <si>
    <t>Муром г, Кленовая ул, 1 корп. 2</t>
  </si>
  <si>
    <t>Муром г, Куликова ул, 25</t>
  </si>
  <si>
    <t>Муром г, Ленинградская ул, 5</t>
  </si>
  <si>
    <t>Муром г, Ленинградская ул, 9</t>
  </si>
  <si>
    <t>Муром г, Мичуринская ул, 11</t>
  </si>
  <si>
    <t>Муром г, Мичуринская ул, 27</t>
  </si>
  <si>
    <t>Муром г, Московская ул, 30</t>
  </si>
  <si>
    <t>Муром г, Московская ул, 42</t>
  </si>
  <si>
    <t>Муром г, Московская ул, 109</t>
  </si>
  <si>
    <t>Муром г, Московская ул, 112</t>
  </si>
  <si>
    <t>Муром г, Муромская ул, 17</t>
  </si>
  <si>
    <t>Муром г, Набережная ул, 17</t>
  </si>
  <si>
    <t>Муром г, Орловская ул, 19</t>
  </si>
  <si>
    <t>Муром г, Спортивная ул, 11</t>
  </si>
  <si>
    <t>Муром г, Спортивная ул, 12</t>
  </si>
  <si>
    <t>Муром г, Свердлова ул, 49</t>
  </si>
  <si>
    <t>Муром г, Первомайская ул, 22</t>
  </si>
  <si>
    <t>Муром г, Филатова ул, 19а</t>
  </si>
  <si>
    <t>Муром г, Цветочный б-р, 6</t>
  </si>
  <si>
    <t>Муром г, Южная ул, 7</t>
  </si>
  <si>
    <t>Муром г, 30 лет Победы ул, 1</t>
  </si>
  <si>
    <t>Муром г, Артема ул, 11</t>
  </si>
  <si>
    <t>Муром г, Заводская ул, 21</t>
  </si>
  <si>
    <t>Муром г, Кирова ул, 26</t>
  </si>
  <si>
    <t>Муром г, Коммунистическая ул, 39</t>
  </si>
  <si>
    <t>Муром г, Лаврентьева ул, 41</t>
  </si>
  <si>
    <t>Муром г, Ленинградская ул, 19</t>
  </si>
  <si>
    <t>Муром г, Ленинградская ул, 29/2</t>
  </si>
  <si>
    <t>Муром г, Московская ул, 86</t>
  </si>
  <si>
    <t>Муром г, Московская ул, 71</t>
  </si>
  <si>
    <t>Муром г, Муромская ул, 19</t>
  </si>
  <si>
    <t>Муром г, Октябрьская ул, 106</t>
  </si>
  <si>
    <t>Муром г, Пролетарская ул, 1б</t>
  </si>
  <si>
    <t>Муром г, Радиозаводское ш, 46</t>
  </si>
  <si>
    <t>Муром г, Спортивная ул, 8</t>
  </si>
  <si>
    <t>Муром г, Свердлова ул, 17</t>
  </si>
  <si>
    <t>Муром г, Чкалова ул, 29</t>
  </si>
  <si>
    <t>Муром г, Щербакова ул, 33</t>
  </si>
  <si>
    <t>Муром г, Энергетиков ул, 3а</t>
  </si>
  <si>
    <t>Муром г, Экземплярского ул, 74</t>
  </si>
  <si>
    <t>Гусь-Хрустальный г, Гражданский пер, 9</t>
  </si>
  <si>
    <t>Гусь-Хрустальный г, Дружбы Народов ул, 18</t>
  </si>
  <si>
    <t>Гусь-Хрустальный г, Зеркальная ул, 3</t>
  </si>
  <si>
    <t>Гусь-Хрустальный г, Зеркальная ул, 5</t>
  </si>
  <si>
    <t>Гусь-Хрустальный г, Зеркальная ул, 6</t>
  </si>
  <si>
    <t>Гусь-Хрустальный г, Зеркальная ул, 8</t>
  </si>
  <si>
    <t>Гусь-Хрустальный г, Микрорайон ул, 2</t>
  </si>
  <si>
    <t>Гусь-Хрустальный г, Микрорайон ул, 12</t>
  </si>
  <si>
    <t>Гусь-Хрустальный г, Микрорайон ул, 13</t>
  </si>
  <si>
    <t>Гусь-Хрустальный г, Микрорайон ул, 23</t>
  </si>
  <si>
    <t>Гусь-Хрустальный г, Микрорайон ул, 25</t>
  </si>
  <si>
    <t>Гусь-Хрустальный г, Микрорайон ул, 27</t>
  </si>
  <si>
    <t>Гусь-Хрустальный г, Писарева ул, 14</t>
  </si>
  <si>
    <t>Гусь-Хрустальный г, Коммунистическая ул, 2</t>
  </si>
  <si>
    <t>Гусь-Хрустальный г, Ленинградская ул, 12</t>
  </si>
  <si>
    <t>Гусь-Хрустальный г, Мира ул, 5</t>
  </si>
  <si>
    <t>Гусь-Хрустальный г, Микрорайон ул, 31</t>
  </si>
  <si>
    <t>Гусь-Хрустальный г, Гусевский п, Интернациональная ул, 6</t>
  </si>
  <si>
    <t>Гусь-Хрустальный г, Гусевский п, Интернациональная ул, 8</t>
  </si>
  <si>
    <t>Гусь-Хрустальный г, Гусевский п, Мира ул, 5</t>
  </si>
  <si>
    <t>Гусь-Хрустальный г, Гусевский п, Мира ул, 17</t>
  </si>
  <si>
    <t>Гусь-Хрустальный г, Гусевский п, Октябрьская ул, 9</t>
  </si>
  <si>
    <t>Гусь-Хрустальный г, Гусевский п, Октябрьская ул, 11</t>
  </si>
  <si>
    <t>Гусь-Хрустальный г, Новый п, Ленина ул, 13</t>
  </si>
  <si>
    <t>Гусь-Хрустальный г, Теплицкий пр-кт, 22</t>
  </si>
  <si>
    <t>Гусь-Хрустальный г, Калинина ул, 53</t>
  </si>
  <si>
    <t>Гусь-Хрустальный г, Карла Маркса ул, 10/13</t>
  </si>
  <si>
    <t>Гусь-Хрустальный г, Курловская ул, 10</t>
  </si>
  <si>
    <t>Гусь-Хрустальный г, Микрорайон ул, 21</t>
  </si>
  <si>
    <t>Гусь-Хрустальный г, Микрорайон ул, 37</t>
  </si>
  <si>
    <t>Гусь-Хрустальный г, Микрорайон ул, 40</t>
  </si>
  <si>
    <t>Гусь-Хрустальный г, Мира ул, 20</t>
  </si>
  <si>
    <t>Гусь-Хрустальный г, Осьмова ул, 24</t>
  </si>
  <si>
    <t>Гусь-Хрустальный г, Гусевский п, Мира ул, 6</t>
  </si>
  <si>
    <t>Гусь-Хрустальный г, Гусевский п, Строительная ул, 20</t>
  </si>
  <si>
    <t>Гусь-Хрустальный г, Новый п, Ленина ул, 9</t>
  </si>
  <si>
    <t>Гусь-Хрустальный г, 50 лет Советской Власти пр-кт, 27</t>
  </si>
  <si>
    <t>Гусь-Хрустальный г, Строительная ул, 8</t>
  </si>
  <si>
    <t>Гусь-Хрустальный г, Транспортная ул, 6</t>
  </si>
  <si>
    <t>Владимир г, Алябьева ул, 3а</t>
  </si>
  <si>
    <t>Владимир г, Безыменского ул, 14а</t>
  </si>
  <si>
    <t>Владимир г, Белоконской ул, 12</t>
  </si>
  <si>
    <t>Владимир г, Белоконской ул, 23</t>
  </si>
  <si>
    <t>Владимир г, Большая Нижегородская ул, 105д</t>
  </si>
  <si>
    <t>Владимир г, Василисина ул, 5</t>
  </si>
  <si>
    <t>Владимир г, Василисина ул, 10а</t>
  </si>
  <si>
    <t>Владимир г, Вокзальная ул, 11</t>
  </si>
  <si>
    <t>Владимир г, Воровского ул, 6</t>
  </si>
  <si>
    <t>Владимир г, Горького ул, 52А</t>
  </si>
  <si>
    <t>Владимир г, Диктора Левитана ул, 26</t>
  </si>
  <si>
    <t>Владимир г, Добросельская ул, 213</t>
  </si>
  <si>
    <t>Владимир г, Добросельский проезд, 4</t>
  </si>
  <si>
    <t>Владимир г, Завадского ул, 11В</t>
  </si>
  <si>
    <t>Владимир г, Комиссарова ул, 2</t>
  </si>
  <si>
    <t>Владимир г, Комиссарова ул, 3А</t>
  </si>
  <si>
    <t>Владимир г, Комиссарова ул, 51</t>
  </si>
  <si>
    <t>Владимир г, Лакина ул, 139В</t>
  </si>
  <si>
    <t>Владимир г, Лакина ул, 141Г</t>
  </si>
  <si>
    <t>Владимир г, Лакина ул, 191</t>
  </si>
  <si>
    <t>Владимир г, Лакина проезд, 4</t>
  </si>
  <si>
    <t>Владимир г, Ленина пр-кт, 24</t>
  </si>
  <si>
    <t>Владимир г, Перекопский городок, 20</t>
  </si>
  <si>
    <t>Владимир г, Коммунар мкр, Песочная ул, 11</t>
  </si>
  <si>
    <t>Владимир г, Растопчина ул, 41а</t>
  </si>
  <si>
    <t>Владимир г, Спасское с, Садовая ул, 2</t>
  </si>
  <si>
    <t>Владимир г, Спасское с, Совхозная ул, 5</t>
  </si>
  <si>
    <t>Владимир г, Энергетик мкр, Совхозная ул, 7</t>
  </si>
  <si>
    <t>Владимир г, Соколова-Соколенка ул, 4</t>
  </si>
  <si>
    <t>Владимир г, Соколова-Соколенка ул, 6б</t>
  </si>
  <si>
    <t>Владимир г, Соколова-Соколенка ул, 19а</t>
  </si>
  <si>
    <t>Владимир г, Соколова-Соколенка ул, 19в</t>
  </si>
  <si>
    <t>Владимир г, Ставровская ул, 6А</t>
  </si>
  <si>
    <t>Владимир г, Стасова ул, 40А</t>
  </si>
  <si>
    <t>Владимир г, Стрелецкий городок, 52</t>
  </si>
  <si>
    <t>Владимир г, Строителей пр-кт, 26Б</t>
  </si>
  <si>
    <t>Владимир г, Студенческая ул, 2А</t>
  </si>
  <si>
    <t>Владимир г, Судогодское ш, 3а</t>
  </si>
  <si>
    <t>Владимир г, Судогодское ш, 7а</t>
  </si>
  <si>
    <t>Владимир г, Судогодское ш, 23</t>
  </si>
  <si>
    <t>Владимир г, Судогодское ш, 23б</t>
  </si>
  <si>
    <t>Владимир г, Судогодское ш, 25а</t>
  </si>
  <si>
    <t>Владимир г, Судогодское ш, 33</t>
  </si>
  <si>
    <t>Владимир г, Тихонравова ул, 3А</t>
  </si>
  <si>
    <t>Владимир г, Тихонравова ул, 8</t>
  </si>
  <si>
    <t>Владимир г, Труда ул, 11</t>
  </si>
  <si>
    <t>Владимир г, Фатьянова ул, 27</t>
  </si>
  <si>
    <t>Владимир г, Фейгина ул, 2/20</t>
  </si>
  <si>
    <t>Владимир г, Заклязьменский п, Центральная ул, 18</t>
  </si>
  <si>
    <t>Владимир г, Чапаева ул, 5</t>
  </si>
  <si>
    <t>Владимир г, Коммунар мкр, Школьная ул, 4</t>
  </si>
  <si>
    <t>Владимир г, Энергетик мкр, Энергетиков ул, 12Б</t>
  </si>
  <si>
    <t>Владимир г, Балакирева ул, 28</t>
  </si>
  <si>
    <t>Владимир г, Балакирева ул, 41а</t>
  </si>
  <si>
    <t>Владимир г, Балакирева ул, 43д</t>
  </si>
  <si>
    <t>Владимир г, Безыменского ул, 5б</t>
  </si>
  <si>
    <t>Владимир г, Безыменского ул, 10а</t>
  </si>
  <si>
    <t>Владимир г, Безыменского ул, 10б</t>
  </si>
  <si>
    <t>Владимир г, Белоконской ул, 15В</t>
  </si>
  <si>
    <t>Владимир г, Василисина ул, 10в</t>
  </si>
  <si>
    <t>Владимир г, Вокзальная ул, 71</t>
  </si>
  <si>
    <t>Владимир г, Диктора Левитана ул, 3Б</t>
  </si>
  <si>
    <t>Владимир г, Диктора Левитана ул, 4А</t>
  </si>
  <si>
    <t>Владимир г, Диктора Левитана ул, 33</t>
  </si>
  <si>
    <t>Владимир г, Добросельская ул, 4</t>
  </si>
  <si>
    <t>Владимир г, Добросельская ул, 167б</t>
  </si>
  <si>
    <t>Владимир г, Добросельская ул, 207а</t>
  </si>
  <si>
    <t>Владимир г, Добросельская ул, 205</t>
  </si>
  <si>
    <t>Владимир г, Добросельская ул, 211а</t>
  </si>
  <si>
    <t>Владимир г, Лакина ул, 137А</t>
  </si>
  <si>
    <t>Владимир г, Лакина ул, 147Б</t>
  </si>
  <si>
    <t>Владимир г, Ленина пр-кт, 62</t>
  </si>
  <si>
    <t>Владимир г, Мира ул, 32Б</t>
  </si>
  <si>
    <t>Владимир г, Мира ул, 34А</t>
  </si>
  <si>
    <t>Владимир г, Мира ул, 42</t>
  </si>
  <si>
    <t>Владимир г, Михайловская ул, 20</t>
  </si>
  <si>
    <t>Владимир г, Октябрьский пр-кт, 43</t>
  </si>
  <si>
    <t>Владимир г, Октябрьский пр-кт, 45</t>
  </si>
  <si>
    <t>Владимир г, Октябрьский пр-кт, 45А</t>
  </si>
  <si>
    <t>Владимир г, Перекопский городок, 10</t>
  </si>
  <si>
    <t>Владимир г, Полины Осипенко ул, 20</t>
  </si>
  <si>
    <t>Владимир г, Растопчина ул, 17</t>
  </si>
  <si>
    <t>Владимир г, Поселок РТС ул, 1</t>
  </si>
  <si>
    <t>Владимир г, Спасское с, Садовая ул, 1</t>
  </si>
  <si>
    <t>Владимир г, Семашко ул, 4</t>
  </si>
  <si>
    <t>Владимир г, Энергетик мкр, Совхозная ул, 4</t>
  </si>
  <si>
    <t>Владимир г, Соколова-Соколенка ул, 11б</t>
  </si>
  <si>
    <t>Владимир г, Солнечная ул, 52</t>
  </si>
  <si>
    <t>Владимир г, Стасова ул, 1/36</t>
  </si>
  <si>
    <t>Владимир г, Стрелецкая ул, 27Б</t>
  </si>
  <si>
    <t>Владимир г, Строителей пр-кт, 30</t>
  </si>
  <si>
    <t>Владимир г, Студенческая ул, 1</t>
  </si>
  <si>
    <t>Владимир г, Судогодское ш, 5а</t>
  </si>
  <si>
    <t>Владимир г, Суздальский пр-кт, 17а</t>
  </si>
  <si>
    <t>Владимир г, Тракторная ул, 14</t>
  </si>
  <si>
    <t>Владимир г, Усти-на-Лабе ул, 22</t>
  </si>
  <si>
    <t>Владимир г, 1-й Коллективный проезд, 4</t>
  </si>
  <si>
    <t>Владимир г, Алябьева ул, 23а</t>
  </si>
  <si>
    <t>Владимир г, Балакирева ул, 29</t>
  </si>
  <si>
    <t>Владимир г, Балакирева ул, 35</t>
  </si>
  <si>
    <t>Владимир г, Балакирева ул, 37г</t>
  </si>
  <si>
    <t>Владимир г, Балакирева ул, 39</t>
  </si>
  <si>
    <t>Владимир г, Безыменского ул, 21б</t>
  </si>
  <si>
    <t>Владимир г, Верхняя Дуброва ул, 38В</t>
  </si>
  <si>
    <t>Владимир г, Диктора Левитана ул, 42</t>
  </si>
  <si>
    <t>Владимир г, Добросельская ул, 161а</t>
  </si>
  <si>
    <t>Владимир г, Егорова ул, 6</t>
  </si>
  <si>
    <t>Владимир г, Жуковского ул, 2</t>
  </si>
  <si>
    <t>Владимир г, Жуковского ул, 8</t>
  </si>
  <si>
    <t>Владимир г, Жуковского ул, 8Б</t>
  </si>
  <si>
    <t>Владимир г, Казарменная ул, 5</t>
  </si>
  <si>
    <t>Владимир г, Каманина ул, 14</t>
  </si>
  <si>
    <t>Владимир г, Красноармейская ул, 24</t>
  </si>
  <si>
    <t>Владимир г, Краснознаменная ул, 8А</t>
  </si>
  <si>
    <t>Владимир г, Лакина ул, 129В</t>
  </si>
  <si>
    <t>Владимир г, Лакина ул, 129Г</t>
  </si>
  <si>
    <t>Владимир г, Лакина ул, 131</t>
  </si>
  <si>
    <t>Владимир г, Лакина ул, 137</t>
  </si>
  <si>
    <t>Владимир г, Лакина ул, 153</t>
  </si>
  <si>
    <t>Владимир г, Ленина пр-кт, 35Б</t>
  </si>
  <si>
    <t>Владимир г, Ленина пр-кт, 67Б</t>
  </si>
  <si>
    <t>Владимир г, Лесной мкр, Лесная ул, 12</t>
  </si>
  <si>
    <t>Владимир г, Лесной мкр, Лесная ул, 13</t>
  </si>
  <si>
    <t>Владимир г, Ново-Ямская ул, 17А</t>
  </si>
  <si>
    <t>Владимир г, Ново-Ямская ул, 23</t>
  </si>
  <si>
    <t>Владимир г, Ново-Ямской пер, 4б</t>
  </si>
  <si>
    <t>Владимир г, Октябрьский пр-кт, 12</t>
  </si>
  <si>
    <t>Владимир г, Октябрьский пр-кт, 41</t>
  </si>
  <si>
    <t>Владимир г, Перекопский городок, 8</t>
  </si>
  <si>
    <t>Владимир г, Перекопский городок, 14</t>
  </si>
  <si>
    <t>Владимир г, Полины Осипенко ул, 1</t>
  </si>
  <si>
    <t>Владимир г, Помпецкий пер, 1</t>
  </si>
  <si>
    <t>Владимир г, Растопчина ул, 29</t>
  </si>
  <si>
    <t>Владимир г, Строителей пр-кт, 4А</t>
  </si>
  <si>
    <t>Владимир г, Строителей пр-кт, 16Б</t>
  </si>
  <si>
    <t>Владимир г, Строителей пр-кт, 25</t>
  </si>
  <si>
    <t>Владимир г, Строителей пр-кт, 42А</t>
  </si>
  <si>
    <t>Владимир г, Строителей пр-кт, 46В</t>
  </si>
  <si>
    <t>Владимир г, Строителей ул, 6А</t>
  </si>
  <si>
    <t>Владимир г, Строителей ул, 10А</t>
  </si>
  <si>
    <t>Владимир г, Суворова ул, 1а</t>
  </si>
  <si>
    <t>Владимир г, Суворова ул, 5</t>
  </si>
  <si>
    <t>Владимир г, Суворова ул, 8</t>
  </si>
  <si>
    <t>Владимир г, Сущевская ул, 7</t>
  </si>
  <si>
    <t>Владимир г, Фатьянова ул, 24</t>
  </si>
  <si>
    <t>Владимир г, Энергетик мкр, Энергетиков ул, 6</t>
  </si>
  <si>
    <t>Владимир г, Энергетик мкр, Энергетиков ул, 11Б</t>
  </si>
  <si>
    <t>Владимир г, Энергетик мкр, Энергетиков ул, 14Б</t>
  </si>
  <si>
    <t>Владимир г, Юбилейная ул, 6</t>
  </si>
  <si>
    <t>Владимир г, Юбилейная ул, 34</t>
  </si>
  <si>
    <t>Александров г, 1-я Лесная ул, 6</t>
  </si>
  <si>
    <t>Александров г, Гагарина ул, 1 корп. 1</t>
  </si>
  <si>
    <t>Александров г, Гагарина ул, 15</t>
  </si>
  <si>
    <t>Александров г, Гагарина ул, 3</t>
  </si>
  <si>
    <t>Александров г, Гагарина ул, 5</t>
  </si>
  <si>
    <t>Александров г, Гагарина ул, 7</t>
  </si>
  <si>
    <t>Александров г, Королева ул, 7</t>
  </si>
  <si>
    <t>Александров г, Королева ул, 9</t>
  </si>
  <si>
    <t>Александров г, Коссович ул, 6</t>
  </si>
  <si>
    <t>Александров г, Красный Переулок ул, 25 корп. 2</t>
  </si>
  <si>
    <t>Александров г, Красный Переулок ул, 4</t>
  </si>
  <si>
    <t>Александров г, Красный Переулок ул, 9</t>
  </si>
  <si>
    <t>Александров г, Ленина ул, 32</t>
  </si>
  <si>
    <t>Александров г, Маяковского ул, 1</t>
  </si>
  <si>
    <t>Александров г, Маяковского ул, 38</t>
  </si>
  <si>
    <t>Александров г, Маяковского ул, 7</t>
  </si>
  <si>
    <t>Александров г, Октябрьская ул, 12</t>
  </si>
  <si>
    <t>Александров г, П.Топоркова ул, 5</t>
  </si>
  <si>
    <t>Александров г, Перфильева ул, 10</t>
  </si>
  <si>
    <t>Александров г, Революции ул, 48</t>
  </si>
  <si>
    <t>Александров г, Революции ул, 51</t>
  </si>
  <si>
    <t>Александров г, Революции ул, 57</t>
  </si>
  <si>
    <t>Александров г, Революции ул, 87</t>
  </si>
  <si>
    <t>Александров г, Свердлова ул, 39 корп. 1</t>
  </si>
  <si>
    <t>Александров г, Свердлова ул, 39</t>
  </si>
  <si>
    <t>Александров г, Советская ул, 23</t>
  </si>
  <si>
    <t>Александров г, Терешковой ул, 1</t>
  </si>
  <si>
    <t>Александров г, Терешковой ул, 13 корп. 3</t>
  </si>
  <si>
    <t>Александров г, Терешковой ул, 2 корп. 2</t>
  </si>
  <si>
    <t>Александров г, Фабрика Калинина ул, 22</t>
  </si>
  <si>
    <t>Александровский р-н, Балакирево пгт, Вокзальная ул, 10</t>
  </si>
  <si>
    <t>Александровский р-н, Балакирево пгт, Заводская ул, 2</t>
  </si>
  <si>
    <t>Александровский р-н, Балакирево пгт, Юго-Западный кв-л, 16</t>
  </si>
  <si>
    <t>Александровский р-н, Балакирево пгт, Юго-Западный кв-л, 17</t>
  </si>
  <si>
    <t>Александровский р-н, Балакирево пгт, Юго-Западный кв-л, 22</t>
  </si>
  <si>
    <t>Александровский р-н, Балакирево пгт, Юго-Западный кв-л, 7</t>
  </si>
  <si>
    <t>Александровский р-н, Балакирево пгт, Юго-Западный кв-л, 9</t>
  </si>
  <si>
    <t>Александровский р-н, Карабаново г, Карпова ул, 1</t>
  </si>
  <si>
    <t>Александровский р-н, Карабаново г, Мира ул, 13</t>
  </si>
  <si>
    <t>Александровский р-н, Карабаново г, Мира ул, 17</t>
  </si>
  <si>
    <t>Александровский р-н, Карабаново г, Ногина ул, 13</t>
  </si>
  <si>
    <t>Александровский р-н, Карабаново г, Первомайская пл, 4</t>
  </si>
  <si>
    <t>Александровский р-н, Карабаново г, Почтовая ул, 19</t>
  </si>
  <si>
    <t>Александровский р-н, Карабаново г, Почтовая ул, 20</t>
  </si>
  <si>
    <t>Александровский р-н, Карабаново г, Чулкова ул, 1</t>
  </si>
  <si>
    <t>Александровский р-н, Струнино г, Больничный проезд, 11</t>
  </si>
  <si>
    <t>Александровский р-н, Струнино г, Больничный проезд, 15</t>
  </si>
  <si>
    <t>Александровский р-н, Струнино г, Больничный проезд, 8</t>
  </si>
  <si>
    <t>Александровский р-н, Струнино г, Дубки кв-л, 9</t>
  </si>
  <si>
    <t>Александровский р-н, Струнино г, Заречная ул, 1а</t>
  </si>
  <si>
    <t>Александровский р-н, Струнино г, Чкалова пер, 1</t>
  </si>
  <si>
    <t>Вязники г, Герцена ул, 40</t>
  </si>
  <si>
    <t>Вязники г, Дечинский мкр, 14</t>
  </si>
  <si>
    <t>Вязники г, Дечинский мкр, 2</t>
  </si>
  <si>
    <t>Вязники г, Ефимьево ул, 10</t>
  </si>
  <si>
    <t>Вязники г, Калинина ул, 7</t>
  </si>
  <si>
    <t>Вязники г, Л.Толстого ул, 2/26</t>
  </si>
  <si>
    <t>Вязники г, Л.Толстого ул, 51/22</t>
  </si>
  <si>
    <t>Вязники г, Ленина ул, 6</t>
  </si>
  <si>
    <t>Вязники г, Металлистов ул, 12</t>
  </si>
  <si>
    <t>Вязники г, Металлистов ул, 14</t>
  </si>
  <si>
    <t>Вязники г, Металлистов ул, 16</t>
  </si>
  <si>
    <t>Вязники г, Металлистов ул, 19</t>
  </si>
  <si>
    <t>Вязники г, Нововязники мкр, Механизаторов ул, 108</t>
  </si>
  <si>
    <t>Вязники г, Нововязники мкр, Текстильная ул, 1</t>
  </si>
  <si>
    <t>Вязники г, Нововязники мкр, Южная ул, 11</t>
  </si>
  <si>
    <t>Вязники г, Сергиевских ул, 4</t>
  </si>
  <si>
    <t>Вязники г, Советская ул, 60/2</t>
  </si>
  <si>
    <t>Вязниковский р-н, Барское Татарово с, Совхозная ул, 15</t>
  </si>
  <si>
    <t>Вязниковский р-н, Мстёра ст, Дома подстанции ул, 1</t>
  </si>
  <si>
    <t>Вязниковский р-н, Никологоры п, 1-я Пролетарская ул, 59</t>
  </si>
  <si>
    <t>Вязниковский р-н, Никологоры п, Механическая ул, 55</t>
  </si>
  <si>
    <t>Вязниковский р-н, Никологоры п, Подгорье ул, 13</t>
  </si>
  <si>
    <t>Вязниковский р-н, Никологоры п, Юбилейная ул, 7б</t>
  </si>
  <si>
    <t>Вязниковский р-н, Октябрьская д, Садовая ул, 2</t>
  </si>
  <si>
    <t>Вязниковский р-н, Октябрьский п, Клубная ул, 4</t>
  </si>
  <si>
    <t>Вязниковский р-н, Октябрьский п, Маяковского ул, 3а</t>
  </si>
  <si>
    <t>Вязниковский р-н, Паустово д, Текстильщиков ул, 10</t>
  </si>
  <si>
    <t>Вязниковский р-н, Паустово д, Текстильщиков ул, 17</t>
  </si>
  <si>
    <t>Вязниковский р-н, Паустово д, Фабричная ул, 6</t>
  </si>
  <si>
    <t>Вязниковский р-н, Пески д, Новая ул, 6</t>
  </si>
  <si>
    <t>Вязниковский р-н, Пески д, Новая ул, 7</t>
  </si>
  <si>
    <t>Вязниковский р-н, Пировы Городищи д, Молодежная ул, 5</t>
  </si>
  <si>
    <t>Вязниковский р-н, Приозерный п, Кирзаводская ул, 1</t>
  </si>
  <si>
    <t>Вязниковский р-н, Сергиевы Горки с, Садовая ул, 4</t>
  </si>
  <si>
    <t>Вязниковский р-н, Серково д, Новая ул, 2</t>
  </si>
  <si>
    <t>Вязниковский р-н, Степанцево п, Ленина ул, 16</t>
  </si>
  <si>
    <t>Вязниковский р-н, Степанцево п, Совхозная ул, 4</t>
  </si>
  <si>
    <t>Вязниковский р-н, Центральный п, Главная ул, 18</t>
  </si>
  <si>
    <t>Вязниковский р-н, Центральный п, Клубная ул, 4</t>
  </si>
  <si>
    <t>Камешково г, Карла Маркса ул, 62</t>
  </si>
  <si>
    <t>Камешково г, Комсомольская пл, 10б</t>
  </si>
  <si>
    <t>Камешково г, Смурова ул, 7</t>
  </si>
  <si>
    <t>Камешково г, Советская ул, 2</t>
  </si>
  <si>
    <t>Камешковский р-н, Гатиха с, Шоссейная ул, 1</t>
  </si>
  <si>
    <t>Камешковский р-н, им Максима Горького п, Морозова ул, 4</t>
  </si>
  <si>
    <t>Камешковский р-н, им Максима Горького п, Шоссейная ул, 2</t>
  </si>
  <si>
    <t>Камешковский р-н, Коверино с, Садовая ул, 5</t>
  </si>
  <si>
    <t>Камешковский р-н, Новки п, Чапаева ул, 13</t>
  </si>
  <si>
    <t>Камешковский р-н, Новки п, Чапаева ул, 21</t>
  </si>
  <si>
    <t>ООО УК "Селиваново"</t>
  </si>
  <si>
    <t>ТСЖ "Королева 9"</t>
  </si>
  <si>
    <t>ООО "Перспектива"</t>
  </si>
  <si>
    <t>ООО "Содружество"</t>
  </si>
  <si>
    <t>ООО "РСК"</t>
  </si>
  <si>
    <t>ООО "ЖКХ "УЮТ"</t>
  </si>
  <si>
    <t>ТСЖ "Калина"</t>
  </si>
  <si>
    <t>ООО "Балремстрой"</t>
  </si>
  <si>
    <t>ООО "ЖКО"</t>
  </si>
  <si>
    <t>ООО "Потенциал"</t>
  </si>
  <si>
    <t>ООО "Алдега"</t>
  </si>
  <si>
    <t>ООО "Содружество С"</t>
  </si>
  <si>
    <t>УК "НУК"</t>
  </si>
  <si>
    <t>ТСЖ "Совхозное"</t>
  </si>
  <si>
    <t>МУП "ЖКС"</t>
  </si>
  <si>
    <t>ТСЖ "Ефимьево 10"</t>
  </si>
  <si>
    <t>ООО "ЖЭК № 3"</t>
  </si>
  <si>
    <t>ТСЖ "Волна"</t>
  </si>
  <si>
    <t>ООО "ЖЭК"Никологоры"</t>
  </si>
  <si>
    <t>ТСЖ "Южная 11"</t>
  </si>
  <si>
    <t>ТСЖ "Березка"</t>
  </si>
  <si>
    <t>Бетонные</t>
  </si>
  <si>
    <t>ТСЖ "Степанцевское"</t>
  </si>
  <si>
    <t>ТСЖ "Дечинский 14"</t>
  </si>
  <si>
    <t>ООО "МП "Альтернатива"</t>
  </si>
  <si>
    <t>ООО"Жилфонд"</t>
  </si>
  <si>
    <t>ООО "Уют"</t>
  </si>
  <si>
    <t>ООО "Надежда"</t>
  </si>
  <si>
    <t xml:space="preserve"> </t>
  </si>
  <si>
    <t>Приложение к Таблице №1</t>
  </si>
  <si>
    <t>Получатель бюджетных средств - Некоммерческая организация "Фонд капитального ремонта многоквартирных домов Владимирской области"</t>
  </si>
  <si>
    <t xml:space="preserve">Источники финансирования </t>
  </si>
  <si>
    <t xml:space="preserve">Всего </t>
  </si>
  <si>
    <t>в том числе: Фонд содействия реформированию жилищно-коммунального хозяйства</t>
  </si>
  <si>
    <t>Областной бюджет</t>
  </si>
  <si>
    <t>Местные бюджеты</t>
  </si>
  <si>
    <t>Средства собственников</t>
  </si>
  <si>
    <t>Ресурсное обеспечение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</t>
  </si>
  <si>
    <t>Объем финансирования в 2020 г., руб.</t>
  </si>
  <si>
    <t>Объем финансирования в 2021 г., руб.</t>
  </si>
  <si>
    <t>Объем финансирования в 2022 г., руб.</t>
  </si>
  <si>
    <t xml:space="preserve">Таблица №2 </t>
  </si>
  <si>
    <t>Наименование МО</t>
  </si>
  <si>
    <t>Общая
площадь
МКД, всего</t>
  </si>
  <si>
    <t>Количество жителей,
зарегистрированных в МКД на дату утверждения
программы</t>
  </si>
  <si>
    <t>Количество МКД</t>
  </si>
  <si>
    <t>Стоимость капитального ремонта, всего</t>
  </si>
  <si>
    <t>кв.м.</t>
  </si>
  <si>
    <t xml:space="preserve">к сводному краткосрочному плану реализации
 региональной программы капитального ремонта общего
 имущества в многоквартирных домах на 2020-2022 годы </t>
  </si>
  <si>
    <t xml:space="preserve">Прогноз реализации сводного краткосрочного плана реализации региональной программы капитального ремонта общего имущества в многоквартирных домах на 2020 - 2022 годы </t>
  </si>
  <si>
    <t>Х</t>
  </si>
  <si>
    <t>Итого по сводному краткосрочному плану на 2020-2022 годы</t>
  </si>
  <si>
    <t>Итого по сводному краткосрочному плану на 2020 год</t>
  </si>
  <si>
    <t>Итого по сводному краткосрочному плану на 2021 год</t>
  </si>
  <si>
    <t>Итого по сводному краткосрочному плану на 2022 год</t>
  </si>
  <si>
    <t xml:space="preserve">Итого по город Гусь-Хрустальный  </t>
  </si>
  <si>
    <t xml:space="preserve">Итого по округ Муром  </t>
  </si>
  <si>
    <t xml:space="preserve">Итого по ЗАТО город Радужный  </t>
  </si>
  <si>
    <t>Вязниковский р-н, Никологоры п, Красноармейский пер, 1</t>
  </si>
  <si>
    <t>Итого по город Ковров</t>
  </si>
  <si>
    <t>Ковров г, Абельмана ул, 46</t>
  </si>
  <si>
    <t>Ковров г, Брюсова проезд, 4</t>
  </si>
  <si>
    <t>Ковров г, Грибоедова ул, 119</t>
  </si>
  <si>
    <t>Ковров г, Запольная ул, 26</t>
  </si>
  <si>
    <t>Ковров г, Зои Космодемьянской ул, 26/1</t>
  </si>
  <si>
    <t>Ковров г, Кирова ул, 73</t>
  </si>
  <si>
    <t>Ковров г, Кирова ул, 77</t>
  </si>
  <si>
    <t>Ковров г, Ковров-8 тер, 2</t>
  </si>
  <si>
    <t>Ковров г, Куйбышева ул, 11</t>
  </si>
  <si>
    <t>Ковров г, Ленина пр-кт, 23</t>
  </si>
  <si>
    <t>Ковров г, Муромская ул, 9</t>
  </si>
  <si>
    <t>Ковров г, Социалистическая ул, 10</t>
  </si>
  <si>
    <t>Ковров г, Ватутина ул, 2а</t>
  </si>
  <si>
    <t>Ковров г, Дегтярева ул, 164</t>
  </si>
  <si>
    <t>Ковров г, Еловая ул, 82/2</t>
  </si>
  <si>
    <t>Ковров г, Железнодорожная ул, 55</t>
  </si>
  <si>
    <t>Ковров г, Лепсе ул, 4</t>
  </si>
  <si>
    <t>Ковров г, Маяковского ул, 79</t>
  </si>
  <si>
    <t>Ковров г, Пугачева ул, 9</t>
  </si>
  <si>
    <t>Ковров г, Солнечная ул, 2</t>
  </si>
  <si>
    <t>Ковров г, Строителей ул, 5</t>
  </si>
  <si>
    <t xml:space="preserve">Итого по город Ковров </t>
  </si>
  <si>
    <t>Ковров г, Барсукова ул, 14а</t>
  </si>
  <si>
    <t>Ковров г, Васильева ул, 14а</t>
  </si>
  <si>
    <t>Ковров г, Ватутина ул, 2в</t>
  </si>
  <si>
    <t>Ковров г, Еловая ул, 82/3</t>
  </si>
  <si>
    <t>Ковров г, Клязьменская ул, 10</t>
  </si>
  <si>
    <t>Ковров г, Ковров-8 тер, 1</t>
  </si>
  <si>
    <t>Ковров г, Ковров-8 тер, 6</t>
  </si>
  <si>
    <t>Ковров г, Муромская ул, 7</t>
  </si>
  <si>
    <t>Ковров г, Сосновая ул, 18</t>
  </si>
  <si>
    <t>Ковров г, Федорова ул, 91</t>
  </si>
  <si>
    <t>Ковровский р-н, Мелехово пгт, Школьный пер, 26</t>
  </si>
  <si>
    <t>Ковровский р-н, Новый п, Першутова ул, 4</t>
  </si>
  <si>
    <t>Суздальский р-н, Гавриловское с, Школьная ул, 17</t>
  </si>
  <si>
    <t>Камешковский р-н, Лубенцы д, 66</t>
  </si>
  <si>
    <t>Петушинский р-н, Покров г, 3 Интернационала ул, 79а</t>
  </si>
  <si>
    <t>Владимир г, Каманина ул, 22</t>
  </si>
  <si>
    <t>Владимир г, Луначарского ул, 39</t>
  </si>
  <si>
    <t>Владимир г, Совхоз Вышка ул, 10</t>
  </si>
  <si>
    <t>Владимир г, Нижняя Дуброва ул, 22</t>
  </si>
  <si>
    <t>ООО "УК "Веста"</t>
  </si>
  <si>
    <t>ООО "ЖЭЦ-управление"</t>
  </si>
  <si>
    <t>ООО УМД "Континент"</t>
  </si>
  <si>
    <t>ООО ЖКО "РОСКО"</t>
  </si>
  <si>
    <t>ООО "КЭЧ"</t>
  </si>
  <si>
    <t>ООО УК "Согласие"</t>
  </si>
  <si>
    <t>ООО "УК "ВИКА"</t>
  </si>
  <si>
    <t>ООО "УК "Ковровтеплострой"</t>
  </si>
  <si>
    <t>ООО УК "Жилсервис"</t>
  </si>
  <si>
    <t>ООО "УК "Восточное"</t>
  </si>
  <si>
    <t>ООО "Комсервис+"</t>
  </si>
  <si>
    <t>ЖСК 9</t>
  </si>
  <si>
    <t xml:space="preserve"> "Новый-2" </t>
  </si>
  <si>
    <t>Ковров г, Зои Космодемьянской ул, 21</t>
  </si>
  <si>
    <t>Муром г, Владимирское ш, 12</t>
  </si>
  <si>
    <t>Итого по город Александров</t>
  </si>
  <si>
    <t>Итого по поселок Балакирево</t>
  </si>
  <si>
    <t>Итого по город Карабаново</t>
  </si>
  <si>
    <t>Итого по город Струнино</t>
  </si>
  <si>
    <t>Итого по поселок Никологоры</t>
  </si>
  <si>
    <t>Итого по Степанцевское</t>
  </si>
  <si>
    <t>Итого по Паустовское</t>
  </si>
  <si>
    <t>Итого по Октябрьское</t>
  </si>
  <si>
    <t>Итого по город Вязники</t>
  </si>
  <si>
    <t>Итого по город Гороховец</t>
  </si>
  <si>
    <t>Итого по Куприяновское</t>
  </si>
  <si>
    <t>Итого по Денисовское</t>
  </si>
  <si>
    <t>Итого по поселок Анопино</t>
  </si>
  <si>
    <t>Итого по город Камешково</t>
  </si>
  <si>
    <t>Итого по Вахромеевское</t>
  </si>
  <si>
    <t>Итого по Сергеихинское</t>
  </si>
  <si>
    <t>Итого по город Киржач</t>
  </si>
  <si>
    <t>Итого по Филипповское</t>
  </si>
  <si>
    <t>Итого по Першинское</t>
  </si>
  <si>
    <t>Итого по поселок Мелехово</t>
  </si>
  <si>
    <t>Итого по Малыгинское</t>
  </si>
  <si>
    <t>Итого по Новосельское</t>
  </si>
  <si>
    <t>Итого по Клязьминское</t>
  </si>
  <si>
    <t>Итого по город Кольчугино</t>
  </si>
  <si>
    <t>Итого по Раздольевское</t>
  </si>
  <si>
    <t>Итого по город Меленки</t>
  </si>
  <si>
    <t>Итого по Нагорное</t>
  </si>
  <si>
    <t>Итого по поселок Вольгинский</t>
  </si>
  <si>
    <t>Итого по город Покров</t>
  </si>
  <si>
    <t>Итого по город Костерево</t>
  </si>
  <si>
    <t>Итого по поселок Городищи</t>
  </si>
  <si>
    <t>Итого по город Петушки</t>
  </si>
  <si>
    <t>Итого по поселок Красная Горбатка</t>
  </si>
  <si>
    <t>Итого по Малышевское</t>
  </si>
  <si>
    <t>Итого по Воршинское</t>
  </si>
  <si>
    <t>Итого по Черкутинское</t>
  </si>
  <si>
    <t>Итого по поселок Ставрово</t>
  </si>
  <si>
    <t>Итого по город Лакинск</t>
  </si>
  <si>
    <t>Итого по город Собинка</t>
  </si>
  <si>
    <t>Итого по город Судогда</t>
  </si>
  <si>
    <t>Итого по Головинское</t>
  </si>
  <si>
    <t>Итого по Мошокское</t>
  </si>
  <si>
    <t>Итого по Муромцевское</t>
  </si>
  <si>
    <t>Итого по город Суздаль</t>
  </si>
  <si>
    <t>Итого по Боголюбовское</t>
  </si>
  <si>
    <t>Итого по Новоалександровское</t>
  </si>
  <si>
    <t>Итого по Селецкое</t>
  </si>
  <si>
    <t>Итого по город Юрьев-Польский</t>
  </si>
  <si>
    <t>Итого по Небыловское</t>
  </si>
  <si>
    <t>Итого по Симское</t>
  </si>
  <si>
    <t>Итого по Красносельское</t>
  </si>
  <si>
    <t>Итого по поселок Мстера</t>
  </si>
  <si>
    <t>Итого по Фоминское</t>
  </si>
  <si>
    <t>Итого по поселок Добрятино</t>
  </si>
  <si>
    <t>Итого по поселок Великодворский</t>
  </si>
  <si>
    <t>Итого по Брызгаловское</t>
  </si>
  <si>
    <t>Итого по Ивановское</t>
  </si>
  <si>
    <t>Итого по Бавленское</t>
  </si>
  <si>
    <t>Итого по Ильинское</t>
  </si>
  <si>
    <t>Итого по Ляховское</t>
  </si>
  <si>
    <t>Итого по Дмитриевогорское</t>
  </si>
  <si>
    <t>Итого по Петушинское</t>
  </si>
  <si>
    <t>Итого по Куриловское</t>
  </si>
  <si>
    <t>Итого по Толпуховское</t>
  </si>
  <si>
    <t>Итого по Вяткинское</t>
  </si>
  <si>
    <t>Итого по Павловское</t>
  </si>
  <si>
    <t>Итого по Андреевское</t>
  </si>
  <si>
    <t>Итого по Лакинск</t>
  </si>
  <si>
    <t>Итого по Копнинское</t>
  </si>
  <si>
    <t>Итого по Пекшинское</t>
  </si>
  <si>
    <t>Итого по поселок Мстёра</t>
  </si>
  <si>
    <t>Итого по город Курлово</t>
  </si>
  <si>
    <t>Итого по поселок Иванищи</t>
  </si>
  <si>
    <t>Итого по Пенкинское</t>
  </si>
  <si>
    <t>Итого по Флорищинское</t>
  </si>
  <si>
    <t>Итого по Ковардицкое</t>
  </si>
  <si>
    <t>X</t>
  </si>
  <si>
    <t>Итого по Кипревское</t>
  </si>
  <si>
    <t xml:space="preserve">город Гусь-Хрустальный  </t>
  </si>
  <si>
    <t xml:space="preserve">округ Муром  </t>
  </si>
  <si>
    <t xml:space="preserve">город Ковров </t>
  </si>
  <si>
    <t xml:space="preserve">ЗАТО город Радужный  </t>
  </si>
  <si>
    <t>город Александров</t>
  </si>
  <si>
    <t>поселок Балакирево</t>
  </si>
  <si>
    <t>город Карабаново</t>
  </si>
  <si>
    <t>город Струнино</t>
  </si>
  <si>
    <t>поселок Никологоры</t>
  </si>
  <si>
    <t>Степанцевское</t>
  </si>
  <si>
    <t>Паустовское</t>
  </si>
  <si>
    <t>поселок Мстёра</t>
  </si>
  <si>
    <t>Октябрьское</t>
  </si>
  <si>
    <t>город Вязники</t>
  </si>
  <si>
    <t>город Гороховец</t>
  </si>
  <si>
    <t>Куприяновское</t>
  </si>
  <si>
    <t>Денисовское</t>
  </si>
  <si>
    <t>город Курлово</t>
  </si>
  <si>
    <t>поселок Иванищи</t>
  </si>
  <si>
    <t>город Камешково</t>
  </si>
  <si>
    <t>Брызгаловское</t>
  </si>
  <si>
    <t>Сергеихинское</t>
  </si>
  <si>
    <t>Пенкинское</t>
  </si>
  <si>
    <t>город Киржач</t>
  </si>
  <si>
    <t>Клязьминское</t>
  </si>
  <si>
    <t>поселок Мелехово</t>
  </si>
  <si>
    <t>Малыгинское</t>
  </si>
  <si>
    <t>Новосельское</t>
  </si>
  <si>
    <t>город Кольчугино</t>
  </si>
  <si>
    <t>Раздольевское</t>
  </si>
  <si>
    <t>Флорищинское</t>
  </si>
  <si>
    <t>город Меленки</t>
  </si>
  <si>
    <t>Дмитриевогорское</t>
  </si>
  <si>
    <t>Ковардицкое</t>
  </si>
  <si>
    <t>Нагорное</t>
  </si>
  <si>
    <t>город Покров</t>
  </si>
  <si>
    <t>город Костерево</t>
  </si>
  <si>
    <t>поселок Городищи</t>
  </si>
  <si>
    <t>Пекшинское</t>
  </si>
  <si>
    <t>город Петушки</t>
  </si>
  <si>
    <t>поселок Вольгинский</t>
  </si>
  <si>
    <t>поселок Красная Горбатка</t>
  </si>
  <si>
    <t>Копнинское</t>
  </si>
  <si>
    <t>Толпуховское</t>
  </si>
  <si>
    <t>поселок Ставрово</t>
  </si>
  <si>
    <t>Лакинск</t>
  </si>
  <si>
    <t>город Собинка</t>
  </si>
  <si>
    <t>город Судогда</t>
  </si>
  <si>
    <t>Андреевское</t>
  </si>
  <si>
    <t>Головинское</t>
  </si>
  <si>
    <t>Мошокское</t>
  </si>
  <si>
    <t>город Суздаль</t>
  </si>
  <si>
    <t>Боголюбовское</t>
  </si>
  <si>
    <t>Селецкое</t>
  </si>
  <si>
    <t>Павловское</t>
  </si>
  <si>
    <t>город Юрьев-Польский</t>
  </si>
  <si>
    <t>Небыловское</t>
  </si>
  <si>
    <t>город Ковров</t>
  </si>
  <si>
    <t>поселок Мстера</t>
  </si>
  <si>
    <t>Фоминское</t>
  </si>
  <si>
    <t>поселок Добрятино</t>
  </si>
  <si>
    <t>поселок Великодворский</t>
  </si>
  <si>
    <t>Вахромеевское</t>
  </si>
  <si>
    <t>Ивановское</t>
  </si>
  <si>
    <t>Бавленское</t>
  </si>
  <si>
    <t>Ильинское</t>
  </si>
  <si>
    <t>Ляховское</t>
  </si>
  <si>
    <t>Петушинское</t>
  </si>
  <si>
    <t>Воршинское</t>
  </si>
  <si>
    <t>Куриловское</t>
  </si>
  <si>
    <t>город Лакинск</t>
  </si>
  <si>
    <t>Вяткинское</t>
  </si>
  <si>
    <t>Муромцевское</t>
  </si>
  <si>
    <t>Новоалександровское</t>
  </si>
  <si>
    <t>Красносельское</t>
  </si>
  <si>
    <t>поселок Анопино</t>
  </si>
  <si>
    <t>Филипповское</t>
  </si>
  <si>
    <t>Кипревское</t>
  </si>
  <si>
    <t>Першинское</t>
  </si>
  <si>
    <t>Малышевское</t>
  </si>
  <si>
    <t>Черкутинское</t>
  </si>
  <si>
    <t>Симское</t>
  </si>
  <si>
    <t>Таблица №1</t>
  </si>
  <si>
    <t>к сводному краткосрочному плану реализации
 региональной программы капитального ремонта общего
 имущества в многоквартирных домах на 2020-2022 годы</t>
  </si>
  <si>
    <t>Сведения о многоквартирных домах, включенных в сводный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2020 - 2022 годы</t>
  </si>
  <si>
    <t>Приложение</t>
  </si>
  <si>
    <t xml:space="preserve">к постановлению департамента жилищно-коммунального хозяйства администрации области </t>
  </si>
  <si>
    <t>от _____________ № ________</t>
  </si>
  <si>
    <t>Сводный краткосрочный план</t>
  </si>
  <si>
    <t xml:space="preserve"> реализации региональной программы капитального ремонта общего имущества в многоквартирных домах </t>
  </si>
  <si>
    <t xml:space="preserve">* </t>
  </si>
  <si>
    <t>**</t>
  </si>
  <si>
    <t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к сводному краткосрочному плану</t>
  </si>
  <si>
    <t>на территории Владимирской области на 2020 - 2022 годы *  **</t>
  </si>
  <si>
    <t>виды, установленные ч.1 ст.166 Жилищного Кодекса РФ</t>
  </si>
  <si>
    <t xml:space="preserve">город Владимир  </t>
  </si>
  <si>
    <t>ООО "ЖЭЦ-Управление" </t>
  </si>
  <si>
    <t>ООО "ОДК" </t>
  </si>
  <si>
    <t>ООО "Универсалстрой"</t>
  </si>
  <si>
    <t>ООО "ЖРЭП № 8"</t>
  </si>
  <si>
    <t>ООО "Мой дом"</t>
  </si>
  <si>
    <t>ООО  "УК ЛЮКС"</t>
  </si>
  <si>
    <t>ООО УК "Старый город"</t>
  </si>
  <si>
    <t>МКП г.Владимира "ЖКХ"</t>
  </si>
  <si>
    <t>ООО "ТЭК"</t>
  </si>
  <si>
    <t>ООО "ВУК"</t>
  </si>
  <si>
    <t>ООО ЖРП "Заклязьменский"</t>
  </si>
  <si>
    <t>ООО "Коммунальщик Проф"</t>
  </si>
  <si>
    <t>ООО "Жилищник"</t>
  </si>
  <si>
    <t>ЗАО "Альтернатива"</t>
  </si>
  <si>
    <t xml:space="preserve"> ООО "ТЭК"</t>
  </si>
  <si>
    <t xml:space="preserve"> ООО "УниверсалСтрой"</t>
  </si>
  <si>
    <t>МКП "ЖКХ"</t>
  </si>
  <si>
    <t xml:space="preserve"> МУП г.Владимира "ГУК"</t>
  </si>
  <si>
    <t>ООО "УК Лидер"</t>
  </si>
  <si>
    <t>МУП "ГУК"</t>
  </si>
  <si>
    <t>ООО "Фортуна"</t>
  </si>
  <si>
    <t>ООО "НУК"</t>
  </si>
  <si>
    <t>ООО "Содружество-С"</t>
  </si>
  <si>
    <t xml:space="preserve">ООО УК "Теплый дом" </t>
  </si>
  <si>
    <t>ООО "Комстройсервис"</t>
  </si>
  <si>
    <t>ООО "Жилищник" г.Суздаль</t>
  </si>
  <si>
    <t>ООО УК "Влад-комстрой"</t>
  </si>
  <si>
    <t>ООО "Оникс"</t>
  </si>
  <si>
    <t xml:space="preserve"> ООО "Жилищник"</t>
  </si>
  <si>
    <t>ООО УК "ЛЮКС"</t>
  </si>
  <si>
    <t>ООО "ЖилСтройСтандарт"</t>
  </si>
  <si>
    <t>ООО "ЖЭК "Никологоры"</t>
  </si>
  <si>
    <t>ООО "Лидер"</t>
  </si>
  <si>
    <t>ООО "Плес+"</t>
  </si>
  <si>
    <t>Количество жителей, зарегистрированных в МКД на          дату утверждения краткосрочного плана</t>
  </si>
  <si>
    <t>в том числе жилых           помещений, находящихся в собственности граждан</t>
  </si>
  <si>
    <t>Способ формирования фонда         капитального ремонта (РО - счет регионального оператора, СС -           специальный счет)</t>
  </si>
  <si>
    <t>Способ управления МКД (УК-         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</si>
  <si>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за счет средств         собственников помещений в МКД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</si>
  <si>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2020 - 2022 годы определены таблицей №1 к сводному краткосрочному плану</t>
  </si>
  <si>
    <t xml:space="preserve">планируемое количество многоквартирных домов, подлежащих капитальному ремонту  и объем средств, необходимый для реализации мероприятий сводного краткосрочного плана приведены в таблице №2   </t>
  </si>
  <si>
    <t>Плановый год капитального ремонта</t>
  </si>
  <si>
    <t>Уровень оплаты взносов на капитальный ремонт МКД</t>
  </si>
  <si>
    <t>капитальный ремонт внутридомовых инженерных систем вентиляции и дымоудаления при капитальном ремонте         крыш</t>
  </si>
  <si>
    <t>ремонт выпусков системы водоотведения до первого смотрового колодца при      капитальном ремонте внутридомовых инженерных систем водоотведения</t>
  </si>
  <si>
    <t>установка узлов управления и регулирования потребления ресурсов, необходимых для предоставления коммунальных услуг        (тепловой энергии, горячей и холодной воды, электрической энергии, газа), с                       оборудованием устройств автоматизации и диспетчеризации, при проведении               капитального ремонта внутридомовых инженерных систем</t>
  </si>
  <si>
    <t>установка или замена в комплексе оборудования индивидуальных тепловых пунктов, при проведении капитального                ремонта внутридомовых инженерных систем теплоснабжения</t>
  </si>
  <si>
    <t>авторский надзор при выполнении работ по  МКД, имеющих статус объекта культурного наследия (памятника истории и культуры) народов РФ</t>
  </si>
  <si>
    <t>%</t>
  </si>
  <si>
    <t>Многоквартирные дома, имеющие полноту собираемости взносов на капитальный ремонт в объеме 100 % и выше от сумм начисленных взносов на капитальный ремонт</t>
  </si>
  <si>
    <t xml:space="preserve">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 * **</t>
  </si>
  <si>
    <t>источники финансирования сводного краткосрочного плана реализации региональной программы капитального ремонта общего имущества в многоквартирных домах на 2020 год за счет средств регионального оператора определены таблицей №1</t>
  </si>
  <si>
    <t>Александров г, Лермонтова ул, 13</t>
  </si>
  <si>
    <t>Владимир г, Дворянская ул, 15</t>
  </si>
  <si>
    <t>Владимир г, Алябьева ул, 17А</t>
  </si>
  <si>
    <t>Владимир г, Алябьева ул, 9</t>
  </si>
  <si>
    <t>Гороховец г, Краснова ул, 8</t>
  </si>
  <si>
    <t>Гусь-Хрустальный г, Орловская ул, 24</t>
  </si>
  <si>
    <t>Гусь-Хрустальный г, Заводской пер, 8</t>
  </si>
  <si>
    <t>Киржач г, Гастелло ул, 1</t>
  </si>
  <si>
    <t>Ковров г, Грибоедова ул, 70</t>
  </si>
  <si>
    <t>Кольчугино г, Ким ул, 18</t>
  </si>
  <si>
    <t>Меленки г, Коминтерна ул, 104</t>
  </si>
  <si>
    <t>Муром г, Воровского ул, 99</t>
  </si>
  <si>
    <t>Муром г, Воровского ул, 16А</t>
  </si>
  <si>
    <t>Муром г, Экземплярского ул, 13А</t>
  </si>
  <si>
    <t>Собинский р-н, Ставрово п, Октябрьская ул, 109</t>
  </si>
  <si>
    <t>Суздальский р-н, Боголюбово п, Западная ул, 7</t>
  </si>
  <si>
    <t>Владимир г, Ново-Ямской пер, 6б</t>
  </si>
  <si>
    <t>Судогодский р-н, Муромцево п, Октябрьская ул, 13</t>
  </si>
  <si>
    <t>Собинский р-н, Асерхово п, Железнодорожная ул, 5</t>
  </si>
  <si>
    <t>2019-2021</t>
  </si>
  <si>
    <t>2017-2019</t>
  </si>
  <si>
    <t>2018-2020</t>
  </si>
  <si>
    <t>2020-2022</t>
  </si>
  <si>
    <t>2022-2024</t>
  </si>
  <si>
    <t>2021-2023</t>
  </si>
  <si>
    <t>2025-2027</t>
  </si>
  <si>
    <t>Киржач г, Красный Октябрь мкр, Фурманова ул, 22</t>
  </si>
  <si>
    <t>Итого по город Владимир</t>
  </si>
  <si>
    <t>Итого по город Гусь-Хрустальный</t>
  </si>
  <si>
    <t>Итого по город Муром</t>
  </si>
  <si>
    <t>Итого по Асерховское</t>
  </si>
  <si>
    <t>Итого по субъекту:</t>
  </si>
  <si>
    <t xml:space="preserve">Таблица № 1 </t>
  </si>
  <si>
    <t>к сводному краткосрочному плану реализации за счет средств регионального оператора</t>
  </si>
  <si>
    <t>Адрес многоквартирного дома (далее - МКД)</t>
  </si>
  <si>
    <t>Количество жителей, зарегистрированных в МКД на дату утверждения краткосрочного плана</t>
  </si>
  <si>
    <t>Способ управления МКД (УК-управляющая организация, ТСЖ - товарищество собственников жилья, ЖК - жилищный кооператив, НУ - непосредственное управление, БУ - без управления)</t>
  </si>
  <si>
    <t>в том числе жилых помещений, находящихся в собственности граждан</t>
  </si>
  <si>
    <t>Сведения о многоквартирных домах, включенных в краткосрочный план реализации региональной программы капитального ремонта общего имущества в многоквартирных домах на территории Владимирской области на 2020 год
за счет средств регионального оператора</t>
  </si>
  <si>
    <t>ТСН "Дворянская-15"</t>
  </si>
  <si>
    <t>ООО "ЖРЭП №8"</t>
  </si>
  <si>
    <t>МУП города Владимиру "ГУК"</t>
  </si>
  <si>
    <t>ООО УК "Центр город"</t>
  </si>
  <si>
    <t>"Березка"</t>
  </si>
  <si>
    <t>Таблица № 2</t>
  </si>
  <si>
    <t>Планируемое количество многоквартирных домов, подлежащих капитальному ремонту и объем средств, необходимый для реализации мероприятий краткосрочного плана</t>
  </si>
  <si>
    <t>Количество
жителей,
зарегистрированных в МКД
на дату
утверждения
программы</t>
  </si>
  <si>
    <t>Итого по программе</t>
  </si>
  <si>
    <t>Владимир г, Алябьева ул, 25</t>
  </si>
  <si>
    <t>Владимир г, Строителей ул, 10</t>
  </si>
  <si>
    <t>Владимир г, Асаткина ул, 27</t>
  </si>
  <si>
    <t>Владимир г, Диктора Левитана ул, 49</t>
  </si>
  <si>
    <t>Вязники г, Металлистов ул, 23а</t>
  </si>
  <si>
    <t>Суздаль г, Гоголя ул, 45</t>
  </si>
  <si>
    <t>ООО"ЖЭК№3"</t>
  </si>
  <si>
    <t>ООО "Жилищник" </t>
  </si>
  <si>
    <t>ООО «ЖРЭП № 8»</t>
  </si>
  <si>
    <t>ООО «Жилищник»</t>
  </si>
  <si>
    <t>ООО УК «ЛЮКС»</t>
  </si>
  <si>
    <t>МУП «ГУК»</t>
  </si>
  <si>
    <t>Ковров г, Пугачева ул, 29</t>
  </si>
  <si>
    <t>Ковров г, Ковров-8 тер, 8 </t>
  </si>
  <si>
    <t>ООО УК "Центр город" </t>
  </si>
  <si>
    <t>ООО "Жилищник-Центр" </t>
  </si>
  <si>
    <t>Владимир г, Березина ул, 3</t>
  </si>
  <si>
    <t>Суздальский р-н, Новое с, Молодежная ул, 1</t>
  </si>
  <si>
    <t>ООО "ЖИЛСТРОЙСТАНДАРТ"</t>
  </si>
  <si>
    <t>ООО "УК СОДРУЖЕСТВО"</t>
  </si>
  <si>
    <t>ТСН "СОГЛАСИЕ 108"</t>
  </si>
  <si>
    <t>ООО "Жилремстрой"</t>
  </si>
  <si>
    <t>ООО "УК"Меленковского района"</t>
  </si>
  <si>
    <t>ООО "ЖКХ"УЮТ"</t>
  </si>
  <si>
    <t>ООО "ЖЭК №4"</t>
  </si>
  <si>
    <t>Владимир г, Кирова ул, 1А</t>
  </si>
  <si>
    <t>Владимир г, Чапаева ул, 6</t>
  </si>
  <si>
    <t>Владимир г, Разина ул, 33</t>
  </si>
  <si>
    <t>ООО  «УК ЛЮКС»</t>
  </si>
  <si>
    <t xml:space="preserve">Итого по город Владимир  </t>
  </si>
  <si>
    <t>Юрьев-Польский р-н, Небылое с, Луговая ул, 1</t>
  </si>
  <si>
    <t>Александров г, Гагарина ул, 1</t>
  </si>
  <si>
    <t>Александровский р-н, Балакирево пгт, Радужный кв-л, 2</t>
  </si>
  <si>
    <t>Владимир г, Безыменского ул, 14</t>
  </si>
  <si>
    <t>Владимир г, Безыменского ул, 16б</t>
  </si>
  <si>
    <t>Владимир г, Безыменского ул, 16в</t>
  </si>
  <si>
    <t>Владимир г, Большая Нижегородская ул, 34</t>
  </si>
  <si>
    <t>Владимир г, Большая Нижегородская ул, 32</t>
  </si>
  <si>
    <t>Владимир г, Диктора Левитана ул, 1А</t>
  </si>
  <si>
    <t>Владимир г, Казарменная ул, 9</t>
  </si>
  <si>
    <t>Владимир г, Кирова ул, 9</t>
  </si>
  <si>
    <t>Владимир г, Комиссарова ул, 35а</t>
  </si>
  <si>
    <t>Владимир г, Красноармейская ул, 32</t>
  </si>
  <si>
    <t>Владимир г, Красноармейская ул, 43</t>
  </si>
  <si>
    <t>Владимир г, Лакина ул, 145</t>
  </si>
  <si>
    <t>Владимир г, Лакина ул, 157А</t>
  </si>
  <si>
    <t>Владимир г, Луначарского ул, 27</t>
  </si>
  <si>
    <t>Владимир г, Модорова ул, 6</t>
  </si>
  <si>
    <t>Владимир г, Октябрьский военный городок, 23</t>
  </si>
  <si>
    <t>Владимир г, Рабочая ул, 13</t>
  </si>
  <si>
    <t>Владимир г, Строителей пр-кт, 17</t>
  </si>
  <si>
    <t>Владимир г, Строителей пр-кт, 32</t>
  </si>
  <si>
    <t>Владимир г, Строителей пр-кт, 36</t>
  </si>
  <si>
    <t>Владимир г, Строителей пр-кт, 40</t>
  </si>
  <si>
    <t>Владимир г, Соколова-Соколенка ул, 22</t>
  </si>
  <si>
    <t>Владимир г, Суздальский пр-кт, 25</t>
  </si>
  <si>
    <t>Владимир г, Труда ул, 10/20</t>
  </si>
  <si>
    <t>Владимир г, Электроприборовский проезд, 7</t>
  </si>
  <si>
    <t>Владимир г, Гагарина ул, 10</t>
  </si>
  <si>
    <t>Владимир г, 1-я Пионерская ул, 59</t>
  </si>
  <si>
    <t>Владимир г, Чайковского ул, 19/1</t>
  </si>
  <si>
    <t>Владимир г, Комиссарова ул, 12а</t>
  </si>
  <si>
    <t>Владимир г, Мира ул, 26</t>
  </si>
  <si>
    <t>Владимир г, 1-я Пионерская ул, 67</t>
  </si>
  <si>
    <t>Владимир г, Горького ул, 61</t>
  </si>
  <si>
    <t>Владимир г, Горького ул, 72</t>
  </si>
  <si>
    <t>Владимир г, Ильича ул, 7б</t>
  </si>
  <si>
    <t>Владимир г, Ильича ул, 13</t>
  </si>
  <si>
    <t>Владимир г, Северная ул, 15</t>
  </si>
  <si>
    <t>Владимир г, Труда ул, 14А</t>
  </si>
  <si>
    <t>Владимир г, Энергетик мкр, Энергетиков ул, 2Б</t>
  </si>
  <si>
    <t>Владимир г, Чайковского ул, 38В</t>
  </si>
  <si>
    <t>Владимир г, Добросельская ул, 161</t>
  </si>
  <si>
    <t>Владимир г, Баумана ул, 4</t>
  </si>
  <si>
    <t>Владимир г, Даргомыжского ул, 20</t>
  </si>
  <si>
    <t>Владимир г, Электроприборовский проезд, 4</t>
  </si>
  <si>
    <t>Владимир г, Большая Нижегородская ул, 99а</t>
  </si>
  <si>
    <t>Гусь-Хрустальный г, Муравьева-Апостола ул, 10</t>
  </si>
  <si>
    <t>Гусь-Хрустальный г, 2-я Народная ул, 2</t>
  </si>
  <si>
    <t>Гусь-Хрустальный г, Дружбы Народов ул, 4</t>
  </si>
  <si>
    <t>Гусь-Хрустальный г, Луначарского ул, 7</t>
  </si>
  <si>
    <t>Гусь-Хрустальный г, Осьмова ул, 7</t>
  </si>
  <si>
    <t>Гусь-Хрустальный г, Осьмова ул, 8</t>
  </si>
  <si>
    <t>Гусь-Хрустальный г, Осьмова ул, 16</t>
  </si>
  <si>
    <t>Гусь-Хрустальный г, Плеханова ул, 1</t>
  </si>
  <si>
    <t>Гусь-Хрустальный г, 50 лет Советской Власти пр-кт, 25</t>
  </si>
  <si>
    <t>Гусь-Хрустальный г, Гусевский п, Мира ул, 11</t>
  </si>
  <si>
    <t>Гусь-Хрустальный г, Революции ул, 17/7</t>
  </si>
  <si>
    <t>Гусь-Хрустальный г, Рудницкой ул, 13</t>
  </si>
  <si>
    <t>Гусь-Хрустальный г, Транспортная ул, 13</t>
  </si>
  <si>
    <t>Гусь-Хрустальный г, Красных Партизан ул, 72/29</t>
  </si>
  <si>
    <t>Гусь-Хрустальный г, Ломоносова ул, 2а/8а</t>
  </si>
  <si>
    <t>Гусь-Хрустальный г, Теплицкий пр-кт, 4</t>
  </si>
  <si>
    <t>Гусь-Хрустальный г, Гусевский п, Советская ул, 18</t>
  </si>
  <si>
    <t>Гусь-Хрустальный г, Гусевский п, Интернациональная ул, 10</t>
  </si>
  <si>
    <t>Муром г, Войкова ул, 9</t>
  </si>
  <si>
    <t>Муром г, Карла Маркса ул, 36</t>
  </si>
  <si>
    <t>Муром г, Ленина ул, 2</t>
  </si>
  <si>
    <t>Муром г, Меленковская ул, 9</t>
  </si>
  <si>
    <t>Муромский р-н, Механизаторов п, 52</t>
  </si>
  <si>
    <t>Муром г, Радиозаводское ш, 38А</t>
  </si>
  <si>
    <t>Муром г, Трудовая ул, 37</t>
  </si>
  <si>
    <t>Муром г, Артема ул, 1а</t>
  </si>
  <si>
    <t>Муром г, Заводская ул, 1</t>
  </si>
  <si>
    <t>Муром г, Куликова ул, 23</t>
  </si>
  <si>
    <t>Муромский р-н, Фабрики им П.Л.Войкова п, 23</t>
  </si>
  <si>
    <t>Муром г, Ковровская ул, 16</t>
  </si>
  <si>
    <t>Муром г, Пушкина ул, 1а</t>
  </si>
  <si>
    <t>Муром г, Ленина ул, 110</t>
  </si>
  <si>
    <t>Ковров г, 19 Партсъезда ул, 3</t>
  </si>
  <si>
    <t>Ковров г, Ковров-8 тер, 3</t>
  </si>
  <si>
    <t>Ковров г, Первомайская ул, 21</t>
  </si>
  <si>
    <t>Ковров г, Ковров-8 тер, 9</t>
  </si>
  <si>
    <t>Ковров г, Абельмана ул, 22</t>
  </si>
  <si>
    <t>Ковров г, Еловая ул, 86</t>
  </si>
  <si>
    <t>Ковров г, Кузнечная ул, 6А</t>
  </si>
  <si>
    <t>Ковров г, Пугачева ул, 35</t>
  </si>
  <si>
    <t>Ковров г, Волго-Донская ул, 6</t>
  </si>
  <si>
    <t>Ковров г, Туманова ул, 4</t>
  </si>
  <si>
    <t>Ковров г, Еловая ул, 82/1</t>
  </si>
  <si>
    <t>Радужный г, 1-й кв-л, 17</t>
  </si>
  <si>
    <t>Радужный г, 9-й кв-л, 8</t>
  </si>
  <si>
    <t>Александров г, Горького ул, 3</t>
  </si>
  <si>
    <t>Александров г, Институтская ул, 13</t>
  </si>
  <si>
    <t>Александров г, Лермонтова ул, 9</t>
  </si>
  <si>
    <t>Александров г, Ленина ул, 26</t>
  </si>
  <si>
    <t>Александров г, Стрелецкая Набережная ул, 1</t>
  </si>
  <si>
    <t>Александров г, Ческа-Липа ул, 2</t>
  </si>
  <si>
    <t>Александров г, Ческа-Липа ул, 6</t>
  </si>
  <si>
    <t>Александровский р-н, Карабаново г, Карпова ул, 3</t>
  </si>
  <si>
    <t>Александровский р-н, Лисавы д, Центральная ул, 2</t>
  </si>
  <si>
    <t>Александровский р-н, Струнино г, Дзержинского ул, 9</t>
  </si>
  <si>
    <t>Александров г, Кубасова ул, 5</t>
  </si>
  <si>
    <t>Александров г, Фабрика Калинина ул, 24</t>
  </si>
  <si>
    <t>Александров г, Революции ул, 77</t>
  </si>
  <si>
    <t>Александров г, Ленина ул, 30</t>
  </si>
  <si>
    <t>Александров г, Революции ул, 40</t>
  </si>
  <si>
    <t>Александров г, Институтская ул, 12</t>
  </si>
  <si>
    <t>Александров г, Терешковой ул, 10</t>
  </si>
  <si>
    <t>Александров г, Совхоз Правда ул, 32</t>
  </si>
  <si>
    <t>Александровский р-н, Балакирево пгт, Юго-Западный кв-л, 6</t>
  </si>
  <si>
    <t>Александровский р-н, Балакирево пгт, Вокзальная ул, 13</t>
  </si>
  <si>
    <t>Александровский р-н, Балакирево пгт, 60 лет Октября ул, 2</t>
  </si>
  <si>
    <t>Александровский р-н, Балакирево пгт, Юго-Западный кв-л, 8</t>
  </si>
  <si>
    <t>Александровский р-н, Карабаново г, Маяковского ул, 2</t>
  </si>
  <si>
    <t>Александровский р-н, Карабаново г, Садовая ул, 6</t>
  </si>
  <si>
    <t>Александровский р-н, Струнино г, Дубки кв-л, 6</t>
  </si>
  <si>
    <t>Вязники г, Мошина ул, 28</t>
  </si>
  <si>
    <t>Вязники г, Сергиевских ул, 19/9</t>
  </si>
  <si>
    <t>Вязниковский р-н, Степанцево п, Ленина ул, 5</t>
  </si>
  <si>
    <t>Вязниковский р-н, Степанцево п, Ленина ул, 6</t>
  </si>
  <si>
    <t>Вязниковский р-н, Степанцево п, Ленина ул, 13</t>
  </si>
  <si>
    <t>Вязниковский р-н, Эдон д, Советская ул, 28</t>
  </si>
  <si>
    <t>Вязники г, С.Лазо ул, 2</t>
  </si>
  <si>
    <t>Вязники г, Благовещенская ул, 42</t>
  </si>
  <si>
    <t>Вязники г, Ленина ул, 24</t>
  </si>
  <si>
    <t>Вязники г, Владимирская ул, 12/15</t>
  </si>
  <si>
    <t>Вязниковский р-н, Октябрьская д, Садовая ул, 1</t>
  </si>
  <si>
    <t>Вязниковский р-н, Паустово д, Текстильщиков ул, 15</t>
  </si>
  <si>
    <t>Гороховец г, Кирова ул, 5</t>
  </si>
  <si>
    <t>Гороховец г, Лермонтова ул, 4</t>
  </si>
  <si>
    <t>Гороховец г, Мира ул, 13</t>
  </si>
  <si>
    <t>Гороховец г, Кирова ул, 11</t>
  </si>
  <si>
    <t>Гороховец г, Льва Толстого ул, 46</t>
  </si>
  <si>
    <t>Гороховец г, Ленина ул, 29</t>
  </si>
  <si>
    <t>Гороховецкий р-н, Васильчиково д, 22</t>
  </si>
  <si>
    <t>Гороховецкий р-н, Пролетарский п, Новофабричная ул, 22</t>
  </si>
  <si>
    <t>Гороховецкий р-н, Арефино д, Совхозная ул, 1</t>
  </si>
  <si>
    <t>Камешково г, Молодежная ул, 11</t>
  </si>
  <si>
    <t>Камешковский р-н, им Максима Горького п, Морозова ул, 6</t>
  </si>
  <si>
    <t>Киржач г, Красный Октябрь мкр, Южный кв-л, 1</t>
  </si>
  <si>
    <t>Киржач г, Красный Октябрь мкр, Южный кв-л, 4</t>
  </si>
  <si>
    <t>Киржач г, Прибрежный кв-л, 3</t>
  </si>
  <si>
    <t>Киржач г, Привокзальная ул, 3</t>
  </si>
  <si>
    <t>Киржач г, Красный Октябрь мкр, Метленкова ул, 4</t>
  </si>
  <si>
    <t>Киржач г, Прибрежный кв-л, 4</t>
  </si>
  <si>
    <t>Киржач г, Денисенко ул, 17</t>
  </si>
  <si>
    <t>Киржачский р-н, Участок Мележи нп, ДРП-1 тер, 4</t>
  </si>
  <si>
    <t>Ковровский р-н, Новый п, Лесная ул, 3</t>
  </si>
  <si>
    <t>Ковровский р-н, Новый п, Школьная ул, 5</t>
  </si>
  <si>
    <t>Ковровский р-н, Малыгино п, Школьная ул, 60</t>
  </si>
  <si>
    <t>Ковровский р-н, Красный Октябрь п, Комсомольская ул, 1</t>
  </si>
  <si>
    <t>Кольчугино г, 3 Интернационала ул, 64</t>
  </si>
  <si>
    <t>Кольчугино г, Коллективная ул, 35</t>
  </si>
  <si>
    <t>Кольчугино г, Ленина ул, 14</t>
  </si>
  <si>
    <t>Кольчугино г, Щорса ул, 18</t>
  </si>
  <si>
    <t>Кольчугинский р-н, Бавлены п, Центральная ул, 8</t>
  </si>
  <si>
    <t>Меленки г, Красноармейская ул, 92</t>
  </si>
  <si>
    <t>Меленки г, Школьный пер, 4</t>
  </si>
  <si>
    <t>Меленки г, Коммунистическая ул, 28</t>
  </si>
  <si>
    <t>Петушинский р-н, Покров г, 3 Интернационала ул, 52а</t>
  </si>
  <si>
    <t>Петушинский р-н, Покров г, 3 Интернационала ул, 76</t>
  </si>
  <si>
    <t>Петушинский р-н, Покров г, Первомайская ул, 1</t>
  </si>
  <si>
    <t>Петушинский р-н, Покров г, Герасимова ул, 17</t>
  </si>
  <si>
    <t>Петушинский р-н, Покров г, Школьный проезд, 4А</t>
  </si>
  <si>
    <t>Петушки г, Прудная ул, 21</t>
  </si>
  <si>
    <t>Петушки г, Строителей ул, 4</t>
  </si>
  <si>
    <t>Петушки г, Московская ул, 21</t>
  </si>
  <si>
    <t>Петушки г, Вокзальная ул, 58</t>
  </si>
  <si>
    <t>Петушки г, Коммунальная ул, 1</t>
  </si>
  <si>
    <t>Петушинский р-н, Костерево г, им Горького ул, 14</t>
  </si>
  <si>
    <t>Петушинский р-н, Костерево г, Ленина ул, 7</t>
  </si>
  <si>
    <t>Петушинский р-н, Вольгинский п, Новосеменковская ул, 12</t>
  </si>
  <si>
    <t>Петушинский р-н, Воспушка д, Ленина ул, 2</t>
  </si>
  <si>
    <t>Собинский р-н, Лакинск г, 21 Партсъезда ул, 5</t>
  </si>
  <si>
    <t>Собинский р-н, Лакинск г, 21 Партсъезда ул, 9</t>
  </si>
  <si>
    <t>Собинский р-н, Лакинск г, Набережная ул, 5</t>
  </si>
  <si>
    <t>Итого по Колокшанское</t>
  </si>
  <si>
    <t>Собинский р-н, Колокша п, Центральная ул, 2</t>
  </si>
  <si>
    <t>Собинский р-н, Колокша п, сан Строитель тер, 3</t>
  </si>
  <si>
    <t>Собинка г, Красная Звезда ул, 4</t>
  </si>
  <si>
    <t>Собинка г, Гагарина ул, 5</t>
  </si>
  <si>
    <t>Собинка г, Рабочий пр-кт, 17</t>
  </si>
  <si>
    <t>Собинский р-н, Ставрово п, Советская ул, 34</t>
  </si>
  <si>
    <t>Собинский р-н, Ставрово п, Советская ул, 43</t>
  </si>
  <si>
    <t>Собинский р-н, Ставрово п, Ленина ул, 12</t>
  </si>
  <si>
    <t>Судогда г, Красная ул, 20</t>
  </si>
  <si>
    <t>Судогда г, Ленина ул, 54в</t>
  </si>
  <si>
    <t>Судогда г, Гагарина ул, 19</t>
  </si>
  <si>
    <t xml:space="preserve">Итого по Вяткинское </t>
  </si>
  <si>
    <t>Судогодский р-н, Гридино д, Молодежная ул, 10</t>
  </si>
  <si>
    <t>Суздаль г, Калинина ул, 3</t>
  </si>
  <si>
    <t>Суздаль г, Калинина ул, 1</t>
  </si>
  <si>
    <t>Суздаль г, Лоунская ул, 3</t>
  </si>
  <si>
    <t>Суздаль г, Лоунская ул, 5</t>
  </si>
  <si>
    <t>Юрьев-Польский г, Шибанкова ул, 142а</t>
  </si>
  <si>
    <t>Юрьев-Польский г, Чехова ул, 7А</t>
  </si>
  <si>
    <t>Юрьев-Польский г, Шибанкова ул, 8</t>
  </si>
  <si>
    <t>Юрьев-Польский г, Луговая ул, 41</t>
  </si>
  <si>
    <t>Юрьев-Польский р-н, Небылое с, Школьная ул, 9</t>
  </si>
  <si>
    <t>Итого по Борисоглебское</t>
  </si>
  <si>
    <t>Муромский р-н, Борисоглеб с, Первомайская ул, 3</t>
  </si>
  <si>
    <t>Итого по Краснопламенское</t>
  </si>
  <si>
    <t>Ковров г, Абельмана ул, 4</t>
  </si>
  <si>
    <t>Муром г, Первомайская ул, 101</t>
  </si>
  <si>
    <t xml:space="preserve">Итого по Денисовское </t>
  </si>
  <si>
    <t>Гороховецкий р-н, Чулково п, Парковая ул, 1</t>
  </si>
  <si>
    <t>Собинка г, Лакина ул, 9</t>
  </si>
  <si>
    <t>Собинский р-н, Лакинск г, Ленина пр-кт, 67</t>
  </si>
  <si>
    <t>Собинский р-н, Лакинск г, Советская ул, 63</t>
  </si>
  <si>
    <t>Гусь-Хрустальный г, 50 лет Советской Власти пр-кт, 43</t>
  </si>
  <si>
    <t>Гусь-Хрустальный г, Гусевский п, Пионерская ул, 15</t>
  </si>
  <si>
    <t>Гусь-Хрустальный г, Гусевский п, Октябрьская ул, 7</t>
  </si>
  <si>
    <t>Юрьев-Польский р-н, Сима с, Луговая ул, 3</t>
  </si>
  <si>
    <t>Юрьев-Польский р-н, Сима с, Луговая ул, 4</t>
  </si>
  <si>
    <t>Итого по Новлянское</t>
  </si>
  <si>
    <t>Селивановский р-н, Новлянка п, Молодежная ул, 4</t>
  </si>
  <si>
    <t>Муром г, Льва Толстого ул, 107</t>
  </si>
  <si>
    <t>Муром г, Куликова ул, 15</t>
  </si>
  <si>
    <t>Муром г, Кирова проезд, 7</t>
  </si>
  <si>
    <t>Муром г, Кирова ул, 18</t>
  </si>
  <si>
    <t>Муром г, Лакина ул, 89</t>
  </si>
  <si>
    <t>Муром г, Кожевники ул, 11</t>
  </si>
  <si>
    <t>Собинский р-н, Ставрово п, Советская ул, 92А</t>
  </si>
  <si>
    <t>ООО "АТ плюс"</t>
  </si>
  <si>
    <t>ООО "УК "Жилсервис"</t>
  </si>
  <si>
    <t>ООО УК "Управдом"</t>
  </si>
  <si>
    <t>ООО  "Управляющая компания №1"</t>
  </si>
  <si>
    <t>ООО "МКД - Сервис"</t>
  </si>
  <si>
    <t>МУП "АЭЛИТА"</t>
  </si>
  <si>
    <t>МУП "РСУ" г.Петушки</t>
  </si>
  <si>
    <t>ООО "Эксперт"</t>
  </si>
  <si>
    <t>МУП г Кольчугино Коммунальник</t>
  </si>
  <si>
    <t>ООО "КОМФОРТ"</t>
  </si>
  <si>
    <t>ООО "ЖЭК №2"</t>
  </si>
  <si>
    <t>ООО"УК"Наш Дом"</t>
  </si>
  <si>
    <t xml:space="preserve">ООО"УК"Наш Дом" </t>
  </si>
  <si>
    <t>ИП Деркач В. Н. </t>
  </si>
  <si>
    <t>МУП "Коммунальщик"</t>
  </si>
  <si>
    <t xml:space="preserve">Блочные </t>
  </si>
  <si>
    <t>2001</t>
  </si>
  <si>
    <t>ООО РСК</t>
  </si>
  <si>
    <t>ООО "УК Содружество"</t>
  </si>
  <si>
    <t>ООО "ПОТЕНЦИАЛ"</t>
  </si>
  <si>
    <t>ООО"Жилтрест"</t>
  </si>
  <si>
    <t>ООО "УК СОДРУЖЕСТВО С"</t>
  </si>
  <si>
    <t>ТСЖ "Центр"</t>
  </si>
  <si>
    <t>МКП Владимир ЖКХ</t>
  </si>
  <si>
    <t>МУП города Владимира "ГУК"</t>
  </si>
  <si>
    <t>ООО  "УниверсалСтрой"</t>
  </si>
  <si>
    <t>ООО "Квартал"</t>
  </si>
  <si>
    <t>Монолитные</t>
  </si>
  <si>
    <t>ООО  "Жилищник" город Владимир</t>
  </si>
  <si>
    <t>ООО "Владимирская управляющая компания"</t>
  </si>
  <si>
    <t>ООО «Мой дом»</t>
  </si>
  <si>
    <t>Непосредственное управление</t>
  </si>
  <si>
    <t>ООО «Жилищник-Центр»</t>
  </si>
  <si>
    <t>Каменные/блочные</t>
  </si>
  <si>
    <t>ООО "ЖКО" </t>
  </si>
  <si>
    <t>ООО "Новая управляющая компания"</t>
  </si>
  <si>
    <t>1957</t>
  </si>
  <si>
    <t>"Нить"</t>
  </si>
  <si>
    <t>ООО "Стройград"</t>
  </si>
  <si>
    <t>ООО "Монолит"</t>
  </si>
  <si>
    <t>ООО "УК Наш Дом"</t>
  </si>
  <si>
    <t>ООО "Уютный дом"</t>
  </si>
  <si>
    <t>ООО "Комсервис+" </t>
  </si>
  <si>
    <t>ООО "ЖЭК № 2"</t>
  </si>
  <si>
    <t>ООО "ЖЭК Никологоры"</t>
  </si>
  <si>
    <t>ООО "Степанцевское ЖКХ"</t>
  </si>
  <si>
    <t xml:space="preserve">ООО УК ЖКХ Собинского района </t>
  </si>
  <si>
    <t>ООО УК "Пономарев С.А." </t>
  </si>
  <si>
    <t>ООО"УК "Меленковского района </t>
  </si>
  <si>
    <t>ООО «Фортуна» </t>
  </si>
  <si>
    <t xml:space="preserve">ООО ДУК "Территория" </t>
  </si>
  <si>
    <t>ООО "Ремстрой Южный"</t>
  </si>
  <si>
    <t>Кирпичные/блочные</t>
  </si>
  <si>
    <t>ООО "Тепломир" </t>
  </si>
  <si>
    <t>ООО УК "Вика"</t>
  </si>
  <si>
    <t>ООО УК "ВИКА" </t>
  </si>
  <si>
    <t>МУП "ЖКХ"</t>
  </si>
  <si>
    <t>ИП Деркач В.Н.</t>
  </si>
  <si>
    <t>ООО "Жилищник" город Суздаль</t>
  </si>
  <si>
    <t>ООО УК "ТеплоСервис" </t>
  </si>
  <si>
    <t>ООО "Управляющая компания № 3"</t>
  </si>
  <si>
    <t>Александров г, Коллективная Аллея ул, 16</t>
  </si>
  <si>
    <t>Александров г, Стрелецкая Набережная ул, 10</t>
  </si>
  <si>
    <t>ООО "УК РЭУ №1"</t>
  </si>
  <si>
    <t>ООО "ДОМОУПРАВ"</t>
  </si>
  <si>
    <t>ООО "УО "РМД"</t>
  </si>
  <si>
    <t>ООО "ЖИЛСТРОЙ"</t>
  </si>
  <si>
    <t>ТСЖ Г.СОБИНКА, УЛ.ЛАКИНА, Д.9</t>
  </si>
  <si>
    <t>ООО "БАЛРЕМСТРОЙ"</t>
  </si>
  <si>
    <t>ООО "Достояние"</t>
  </si>
  <si>
    <t>город Владимир</t>
  </si>
  <si>
    <t>город Гусь-Хрустальный</t>
  </si>
  <si>
    <t>город Муром</t>
  </si>
  <si>
    <t>Асерховское</t>
  </si>
  <si>
    <t>Краснопламенское</t>
  </si>
  <si>
    <t>Новлянское</t>
  </si>
  <si>
    <t>Колокшанское</t>
  </si>
  <si>
    <t xml:space="preserve">Вяткинское </t>
  </si>
  <si>
    <t>Борисоглебское</t>
  </si>
  <si>
    <t xml:space="preserve">Денисовское </t>
  </si>
  <si>
    <t>Суздальский р-н, Сокол п, 1</t>
  </si>
  <si>
    <t>Владимир г, Безыменского ул, 18</t>
  </si>
  <si>
    <t>Александров г, Королева ул, 11</t>
  </si>
  <si>
    <t>Ковров г, Мира пр-кт, 2</t>
  </si>
  <si>
    <t>Владимир г, Краснознаменная ул, 5</t>
  </si>
  <si>
    <t>Владимир г, Растопчина ул, 19</t>
  </si>
  <si>
    <t>Владимир г, Чайковского ул, 38</t>
  </si>
  <si>
    <t>Владимир г, Электроприборовский проезд, 2</t>
  </si>
  <si>
    <t>Владимир г, Василисина ул, 11</t>
  </si>
  <si>
    <t>Владимир г, Ленина пр-кт, 7</t>
  </si>
  <si>
    <t>Владимир г, Суздальская ул, 2</t>
  </si>
  <si>
    <t>Владимир г, Гагарина ул, 29</t>
  </si>
  <si>
    <t>Владимир г, Большая Нижегородская ул, 67г</t>
  </si>
  <si>
    <t>Владимир г, Каманина ул, 26</t>
  </si>
  <si>
    <t>Владимир г, Судогодское ш, 1</t>
  </si>
  <si>
    <t>МКП г.Владимира «ЖКХ»</t>
  </si>
  <si>
    <t>ООО «Владимирская управляющая компания»</t>
  </si>
  <si>
    <t>ООО «МУПЖРЭП»</t>
  </si>
  <si>
    <t>МУП г.Владимира «ГУК»</t>
  </si>
  <si>
    <t>Ковров г, Брюсова ул, 54</t>
  </si>
  <si>
    <t>Ковров г, Волго-Донская ул, 7в</t>
  </si>
  <si>
    <t>Ковров г, Запольная ул, 28</t>
  </si>
  <si>
    <t>Ковров г, Зои Космодемьянской ул, 30</t>
  </si>
  <si>
    <t>Ковров г, Свердлова ул, 15</t>
  </si>
  <si>
    <t>ТСЖ "Мир-2"</t>
  </si>
  <si>
    <t>ООО УК "Сфера"</t>
  </si>
  <si>
    <t>ЖСК № 55</t>
  </si>
  <si>
    <t>ООО УК "Восточное"</t>
  </si>
  <si>
    <t>ООО "ЖКС "Алдега"</t>
  </si>
  <si>
    <t>ООО «ТЭК»</t>
  </si>
  <si>
    <t>ООО»Жилищник-Центр»</t>
  </si>
  <si>
    <t>ООО УК «Старый город»</t>
  </si>
  <si>
    <t>ООО ЖРП «Заклязьменский»</t>
  </si>
  <si>
    <t>Владимир г, Ленина пр-кт, 5</t>
  </si>
  <si>
    <t>Владимир г, Ленина пр-кт, 20</t>
  </si>
  <si>
    <t>Владимир г, Каманина ул, 27</t>
  </si>
  <si>
    <t>МКП г.Владимир "ЖКХ"</t>
  </si>
  <si>
    <t>Ковровский р-н, Мелехово пгт, Советская ул, 14</t>
  </si>
  <si>
    <t>Камешковский р-н, Дружба п, Мира ул, 9</t>
  </si>
  <si>
    <t xml:space="preserve">Получатель бюджетных средств - Некоммерческая организация (дополнительная помощь при возникновении неотложной необходимости в проведении капитального ремонта общего имущества в многоквартирных домах в рамках постановления администрации Владимирской области №742 от 05.10.2018, капитальный ремонт лифтового оборудования в многоквартирных домах)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</si>
</sst>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-419]General"/>
    <numFmt numFmtId="166" formatCode="###\ ###\ ###\ ##0.00"/>
  </numFmts>
  <fonts count="4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24"/>
      <color theme="1"/>
      <name val="Times New Roman"/>
      <family val="1"/>
      <charset val="204"/>
    </font>
    <font>
      <b/>
      <sz val="46"/>
      <color theme="1"/>
      <name val="Times New Roman"/>
      <family val="1"/>
      <charset val="204"/>
    </font>
    <font>
      <sz val="60"/>
      <color theme="1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sz val="48"/>
      <color rgb="FF000000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72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28"/>
      <color theme="1"/>
      <name val="Calibri"/>
      <family val="2"/>
      <scheme val="minor"/>
    </font>
    <font>
      <sz val="28"/>
      <color theme="1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165" fontId="11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1" fillId="0" borderId="0"/>
    <xf numFmtId="0" fontId="4" fillId="0" borderId="0"/>
    <xf numFmtId="0" fontId="4" fillId="0" borderId="0"/>
    <xf numFmtId="164" fontId="5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/>
    <xf numFmtId="0" fontId="4" fillId="0" borderId="0"/>
    <xf numFmtId="0" fontId="4" fillId="0" borderId="0"/>
  </cellStyleXfs>
  <cellXfs count="257">
    <xf numFmtId="0" fontId="0" fillId="0" borderId="0" xfId="0"/>
    <xf numFmtId="0" fontId="1" fillId="0" borderId="0" xfId="23" applyFont="1" applyAlignment="1">
      <alignment wrapText="1"/>
    </xf>
    <xf numFmtId="0" fontId="1" fillId="0" borderId="0" xfId="23" applyFont="1" applyAlignment="1">
      <alignment horizontal="right"/>
    </xf>
    <xf numFmtId="0" fontId="17" fillId="0" borderId="1" xfId="0" applyFont="1" applyFill="1" applyBorder="1"/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Fill="1"/>
    <xf numFmtId="0" fontId="3" fillId="0" borderId="0" xfId="0" applyFont="1" applyFill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7" fillId="0" borderId="1" xfId="9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6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right"/>
    </xf>
    <xf numFmtId="4" fontId="0" fillId="0" borderId="0" xfId="0" applyNumberFormat="1" applyFill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NumberFormat="1" applyFont="1" applyFill="1"/>
    <xf numFmtId="0" fontId="23" fillId="0" borderId="1" xfId="0" applyFont="1" applyFill="1" applyBorder="1" applyAlignment="1">
      <alignment horizontal="left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4" fontId="23" fillId="0" borderId="1" xfId="0" applyNumberFormat="1" applyFont="1" applyFill="1" applyBorder="1" applyAlignment="1">
      <alignment horizontal="right" wrapText="1"/>
    </xf>
    <xf numFmtId="4" fontId="23" fillId="0" borderId="1" xfId="0" applyNumberFormat="1" applyFont="1" applyFill="1" applyBorder="1" applyAlignment="1">
      <alignment horizontal="right"/>
    </xf>
    <xf numFmtId="4" fontId="28" fillId="0" borderId="1" xfId="0" applyNumberFormat="1" applyFont="1" applyFill="1" applyBorder="1" applyAlignment="1">
      <alignment horizontal="right" wrapText="1"/>
    </xf>
    <xf numFmtId="0" fontId="23" fillId="0" borderId="1" xfId="0" applyNumberFormat="1" applyFont="1" applyFill="1" applyBorder="1" applyAlignment="1">
      <alignment horizontal="right"/>
    </xf>
    <xf numFmtId="1" fontId="23" fillId="0" borderId="1" xfId="0" applyNumberFormat="1" applyFont="1" applyFill="1" applyBorder="1" applyAlignment="1">
      <alignment horizontal="center"/>
    </xf>
    <xf numFmtId="1" fontId="23" fillId="0" borderId="5" xfId="0" applyNumberFormat="1" applyFont="1" applyFill="1" applyBorder="1" applyAlignment="1">
      <alignment horizontal="center"/>
    </xf>
    <xf numFmtId="4" fontId="25" fillId="0" borderId="1" xfId="10" applyNumberFormat="1" applyFont="1" applyFill="1" applyBorder="1" applyAlignment="1">
      <alignment horizontal="right" wrapText="1"/>
    </xf>
    <xf numFmtId="4" fontId="25" fillId="0" borderId="1" xfId="22" applyNumberFormat="1" applyFont="1" applyFill="1" applyBorder="1" applyAlignment="1">
      <alignment horizontal="right"/>
    </xf>
    <xf numFmtId="4" fontId="25" fillId="0" borderId="1" xfId="10" applyNumberFormat="1" applyFont="1" applyFill="1" applyBorder="1" applyAlignment="1">
      <alignment horizontal="right"/>
    </xf>
    <xf numFmtId="4" fontId="25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horizontal="center"/>
    </xf>
    <xf numFmtId="0" fontId="1" fillId="0" borderId="1" xfId="23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29" fillId="0" borderId="0" xfId="0" applyFont="1" applyFill="1" applyAlignment="1">
      <alignment wrapText="1"/>
    </xf>
    <xf numFmtId="0" fontId="30" fillId="0" borderId="1" xfId="9" applyNumberFormat="1" applyFont="1" applyFill="1" applyBorder="1" applyAlignment="1">
      <alignment horizontal="center" vertical="center"/>
    </xf>
    <xf numFmtId="4" fontId="30" fillId="0" borderId="1" xfId="9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166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/>
    </xf>
    <xf numFmtId="166" fontId="15" fillId="0" borderId="1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30" fillId="0" borderId="0" xfId="19" applyFont="1" applyFill="1" applyAlignment="1">
      <alignment wrapText="1"/>
    </xf>
    <xf numFmtId="0" fontId="30" fillId="0" borderId="0" xfId="19" applyFont="1" applyFill="1" applyAlignment="1">
      <alignment horizontal="center" wrapText="1"/>
    </xf>
    <xf numFmtId="0" fontId="30" fillId="0" borderId="0" xfId="19" applyFont="1" applyFill="1" applyAlignment="1">
      <alignment horizontal="right" wrapText="1"/>
    </xf>
    <xf numFmtId="0" fontId="30" fillId="0" borderId="0" xfId="19" applyFont="1" applyFill="1" applyAlignment="1">
      <alignment vertical="center" wrapText="1"/>
    </xf>
    <xf numFmtId="0" fontId="30" fillId="0" borderId="1" xfId="29" applyFont="1" applyFill="1" applyBorder="1" applyAlignment="1">
      <alignment horizontal="center" vertical="center"/>
    </xf>
    <xf numFmtId="1" fontId="30" fillId="0" borderId="1" xfId="29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26" fillId="0" borderId="11" xfId="0" applyFont="1" applyFill="1" applyBorder="1" applyAlignment="1">
      <alignment horizontal="center" vertical="center" textRotation="90" wrapText="1"/>
    </xf>
    <xf numFmtId="0" fontId="26" fillId="0" borderId="1" xfId="0" applyNumberFormat="1" applyFont="1" applyFill="1" applyBorder="1" applyAlignment="1">
      <alignment horizontal="center" wrapText="1"/>
    </xf>
    <xf numFmtId="0" fontId="31" fillId="0" borderId="0" xfId="0" applyFont="1" applyFill="1"/>
    <xf numFmtId="0" fontId="0" fillId="0" borderId="0" xfId="0" applyNumberFormat="1" applyFill="1"/>
    <xf numFmtId="4" fontId="31" fillId="0" borderId="0" xfId="0" applyNumberFormat="1" applyFont="1" applyFill="1"/>
    <xf numFmtId="0" fontId="28" fillId="0" borderId="1" xfId="28" applyFont="1" applyFill="1" applyBorder="1" applyAlignment="1">
      <alignment horizontal="center"/>
    </xf>
    <xf numFmtId="4" fontId="23" fillId="0" borderId="1" xfId="0" applyNumberFormat="1" applyFont="1" applyFill="1" applyBorder="1" applyAlignment="1"/>
    <xf numFmtId="4" fontId="23" fillId="0" borderId="1" xfId="0" applyNumberFormat="1" applyFont="1" applyFill="1" applyBorder="1" applyAlignment="1">
      <alignment horizontal="center"/>
    </xf>
    <xf numFmtId="10" fontId="23" fillId="0" borderId="1" xfId="0" applyNumberFormat="1" applyFont="1" applyFill="1" applyBorder="1" applyAlignment="1">
      <alignment horizontal="center"/>
    </xf>
    <xf numFmtId="0" fontId="28" fillId="0" borderId="1" xfId="28" applyFont="1" applyFill="1" applyBorder="1" applyAlignment="1">
      <alignment horizontal="left"/>
    </xf>
    <xf numFmtId="4" fontId="23" fillId="0" borderId="0" xfId="0" applyNumberFormat="1" applyFont="1" applyFill="1"/>
    <xf numFmtId="0" fontId="2" fillId="0" borderId="0" xfId="0" applyFont="1"/>
    <xf numFmtId="0" fontId="23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/>
    <xf numFmtId="0" fontId="2" fillId="0" borderId="0" xfId="0" applyFont="1" applyFill="1" applyAlignment="1">
      <alignment horizontal="center" wrapText="1"/>
    </xf>
    <xf numFmtId="3" fontId="23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26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28" fillId="0" borderId="1" xfId="0" applyNumberFormat="1" applyFont="1" applyFill="1" applyBorder="1" applyAlignment="1">
      <alignment horizontal="right" wrapText="1"/>
    </xf>
    <xf numFmtId="0" fontId="25" fillId="0" borderId="1" xfId="10" applyNumberFormat="1" applyFont="1" applyFill="1" applyBorder="1" applyAlignment="1">
      <alignment horizontal="right"/>
    </xf>
    <xf numFmtId="0" fontId="23" fillId="0" borderId="1" xfId="0" applyNumberFormat="1" applyFont="1" applyFill="1" applyBorder="1" applyAlignment="1">
      <alignment horizontal="right" vertical="center" readingOrder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6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wrapText="1"/>
    </xf>
    <xf numFmtId="0" fontId="23" fillId="0" borderId="1" xfId="0" applyNumberFormat="1" applyFont="1" applyFill="1" applyBorder="1" applyAlignment="1">
      <alignment horizontal="right" wrapText="1"/>
    </xf>
    <xf numFmtId="0" fontId="23" fillId="0" borderId="5" xfId="0" applyFont="1" applyFill="1" applyBorder="1" applyAlignment="1">
      <alignment horizontal="center" wrapText="1"/>
    </xf>
    <xf numFmtId="0" fontId="23" fillId="0" borderId="1" xfId="0" applyNumberFormat="1" applyFont="1" applyFill="1" applyBorder="1" applyAlignment="1"/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right" vertical="center" readingOrder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/>
    </xf>
    <xf numFmtId="0" fontId="30" fillId="0" borderId="1" xfId="0" applyFont="1" applyFill="1" applyBorder="1"/>
    <xf numFmtId="0" fontId="34" fillId="0" borderId="1" xfId="0" applyFont="1" applyFill="1" applyBorder="1" applyAlignment="1">
      <alignment horizontal="center"/>
    </xf>
    <xf numFmtId="0" fontId="35" fillId="0" borderId="1" xfId="28" applyFont="1" applyFill="1" applyBorder="1" applyAlignment="1">
      <alignment horizontal="center"/>
    </xf>
    <xf numFmtId="0" fontId="34" fillId="0" borderId="1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right"/>
    </xf>
    <xf numFmtId="3" fontId="37" fillId="0" borderId="1" xfId="0" applyNumberFormat="1" applyFont="1" applyFill="1" applyBorder="1" applyAlignment="1">
      <alignment horizontal="right"/>
    </xf>
    <xf numFmtId="0" fontId="37" fillId="0" borderId="1" xfId="0" applyFont="1" applyFill="1" applyBorder="1" applyAlignment="1">
      <alignment horizontal="center" wrapText="1"/>
    </xf>
    <xf numFmtId="4" fontId="37" fillId="0" borderId="1" xfId="0" applyNumberFormat="1" applyFont="1" applyFill="1" applyBorder="1"/>
    <xf numFmtId="0" fontId="37" fillId="0" borderId="1" xfId="0" applyFont="1" applyFill="1" applyBorder="1"/>
    <xf numFmtId="0" fontId="3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/>
    </xf>
    <xf numFmtId="0" fontId="30" fillId="0" borderId="1" xfId="0" applyFont="1" applyFill="1" applyBorder="1" applyAlignment="1">
      <alignment horizontal="center" vertical="center"/>
    </xf>
    <xf numFmtId="0" fontId="35" fillId="0" borderId="1" xfId="28" applyFont="1" applyBorder="1" applyAlignment="1">
      <alignment horizontal="center"/>
    </xf>
    <xf numFmtId="0" fontId="35" fillId="0" borderId="1" xfId="28" applyFont="1" applyFill="1" applyBorder="1" applyAlignment="1">
      <alignment horizontal="left" vertical="center"/>
    </xf>
    <xf numFmtId="0" fontId="35" fillId="0" borderId="1" xfId="28" applyFont="1" applyBorder="1" applyAlignment="1">
      <alignment horizontal="left"/>
    </xf>
    <xf numFmtId="0" fontId="39" fillId="0" borderId="0" xfId="0" applyFont="1" applyFill="1"/>
    <xf numFmtId="3" fontId="37" fillId="0" borderId="1" xfId="0" applyNumberFormat="1" applyFont="1" applyFill="1" applyBorder="1"/>
    <xf numFmtId="4" fontId="37" fillId="0" borderId="1" xfId="0" applyNumberFormat="1" applyFont="1" applyBorder="1" applyAlignment="1">
      <alignment horizontal="right"/>
    </xf>
    <xf numFmtId="0" fontId="37" fillId="0" borderId="1" xfId="0" applyNumberFormat="1" applyFont="1" applyFill="1" applyBorder="1" applyAlignment="1">
      <alignment horizontal="center"/>
    </xf>
    <xf numFmtId="0" fontId="35" fillId="0" borderId="1" xfId="28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right" vertical="center"/>
    </xf>
    <xf numFmtId="3" fontId="41" fillId="0" borderId="1" xfId="0" applyNumberFormat="1" applyFont="1" applyBorder="1" applyAlignment="1">
      <alignment vertical="center"/>
    </xf>
    <xf numFmtId="4" fontId="37" fillId="0" borderId="1" xfId="0" applyNumberFormat="1" applyFont="1" applyBorder="1" applyAlignment="1">
      <alignment horizontal="right" vertical="center"/>
    </xf>
    <xf numFmtId="4" fontId="37" fillId="0" borderId="1" xfId="0" applyNumberFormat="1" applyFont="1" applyBorder="1" applyAlignment="1">
      <alignment vertical="center"/>
    </xf>
    <xf numFmtId="0" fontId="4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44" fillId="0" borderId="0" xfId="0" applyNumberFormat="1" applyFont="1" applyAlignment="1">
      <alignment vertical="center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1" fontId="23" fillId="0" borderId="1" xfId="0" applyNumberFormat="1" applyFont="1" applyBorder="1" applyAlignment="1">
      <alignment horizontal="center"/>
    </xf>
    <xf numFmtId="1" fontId="23" fillId="0" borderId="5" xfId="0" applyNumberFormat="1" applyFont="1" applyBorder="1" applyAlignment="1">
      <alignment horizontal="center"/>
    </xf>
    <xf numFmtId="4" fontId="37" fillId="0" borderId="1" xfId="0" applyNumberFormat="1" applyFont="1" applyBorder="1"/>
    <xf numFmtId="4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textRotation="90" wrapText="1"/>
    </xf>
    <xf numFmtId="4" fontId="26" fillId="0" borderId="1" xfId="0" applyNumberFormat="1" applyFont="1" applyFill="1" applyBorder="1" applyAlignment="1">
      <alignment horizontal="center" vertical="center" textRotation="90" wrapText="1"/>
    </xf>
    <xf numFmtId="2" fontId="26" fillId="0" borderId="1" xfId="0" applyNumberFormat="1" applyFont="1" applyFill="1" applyBorder="1" applyAlignment="1">
      <alignment horizontal="center" vertical="center" textRotation="90" wrapText="1"/>
    </xf>
    <xf numFmtId="0" fontId="21" fillId="0" borderId="0" xfId="0" applyFont="1" applyFill="1" applyAlignment="1">
      <alignment horizontal="left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 vertical="center" wrapText="1"/>
    </xf>
    <xf numFmtId="0" fontId="22" fillId="0" borderId="0" xfId="0" applyFont="1" applyFill="1" applyAlignment="1">
      <alignment horizontal="center" wrapText="1"/>
    </xf>
    <xf numFmtId="0" fontId="22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vertical="center" wrapText="1"/>
    </xf>
    <xf numFmtId="0" fontId="30" fillId="0" borderId="1" xfId="9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vertical="center"/>
    </xf>
    <xf numFmtId="0" fontId="30" fillId="0" borderId="1" xfId="9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textRotation="90" wrapText="1"/>
    </xf>
    <xf numFmtId="4" fontId="30" fillId="0" borderId="1" xfId="9" applyNumberFormat="1" applyFont="1" applyFill="1" applyBorder="1" applyAlignment="1">
      <alignment horizontal="center" vertical="center" wrapText="1"/>
    </xf>
    <xf numFmtId="0" fontId="30" fillId="0" borderId="2" xfId="9" applyNumberFormat="1" applyFont="1" applyFill="1" applyBorder="1" applyAlignment="1">
      <alignment horizontal="center" vertical="center" textRotation="90" wrapText="1"/>
    </xf>
    <xf numFmtId="0" fontId="30" fillId="0" borderId="3" xfId="9" applyNumberFormat="1" applyFont="1" applyFill="1" applyBorder="1" applyAlignment="1">
      <alignment horizontal="center" vertical="center" wrapText="1"/>
    </xf>
    <xf numFmtId="0" fontId="30" fillId="0" borderId="4" xfId="9" applyNumberFormat="1" applyFont="1" applyFill="1" applyBorder="1" applyAlignment="1">
      <alignment horizontal="center" vertical="center" wrapText="1"/>
    </xf>
    <xf numFmtId="0" fontId="30" fillId="0" borderId="1" xfId="9" applyFont="1" applyFill="1" applyBorder="1" applyAlignment="1">
      <alignment horizontal="center" textRotation="90" wrapText="1"/>
    </xf>
    <xf numFmtId="0" fontId="1" fillId="0" borderId="6" xfId="23" applyFont="1" applyBorder="1" applyAlignment="1">
      <alignment wrapText="1"/>
    </xf>
    <xf numFmtId="0" fontId="1" fillId="0" borderId="5" xfId="23" applyFont="1" applyBorder="1" applyAlignment="1">
      <alignment wrapText="1"/>
    </xf>
    <xf numFmtId="0" fontId="1" fillId="0" borderId="6" xfId="23" applyFont="1" applyBorder="1" applyAlignment="1">
      <alignment horizontal="center" vertical="center" wrapText="1"/>
    </xf>
    <xf numFmtId="0" fontId="1" fillId="0" borderId="7" xfId="23" applyFont="1" applyBorder="1" applyAlignment="1">
      <alignment horizontal="center" vertical="center" wrapText="1"/>
    </xf>
    <xf numFmtId="0" fontId="1" fillId="0" borderId="5" xfId="23" applyFont="1" applyBorder="1" applyAlignment="1">
      <alignment horizontal="center" vertical="center" wrapText="1"/>
    </xf>
    <xf numFmtId="0" fontId="9" fillId="0" borderId="0" xfId="23" applyFont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left" wrapText="1"/>
    </xf>
    <xf numFmtId="0" fontId="21" fillId="0" borderId="8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 wrapText="1"/>
    </xf>
    <xf numFmtId="4" fontId="26" fillId="0" borderId="4" xfId="0" applyNumberFormat="1" applyFont="1" applyFill="1" applyBorder="1" applyAlignment="1">
      <alignment horizontal="center" vertical="center" wrapText="1"/>
    </xf>
    <xf numFmtId="2" fontId="26" fillId="0" borderId="1" xfId="19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3" xfId="0" applyFont="1" applyFill="1" applyBorder="1" applyAlignment="1">
      <alignment horizontal="center" vertical="center" textRotation="90" wrapText="1"/>
    </xf>
    <xf numFmtId="0" fontId="26" fillId="0" borderId="4" xfId="0" applyFont="1" applyFill="1" applyBorder="1" applyAlignment="1">
      <alignment horizontal="center" vertical="center" textRotation="90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2" fontId="26" fillId="0" borderId="2" xfId="19" applyNumberFormat="1" applyFont="1" applyFill="1" applyBorder="1" applyAlignment="1">
      <alignment horizontal="center" vertical="center" textRotation="90" wrapText="1"/>
    </xf>
    <xf numFmtId="2" fontId="26" fillId="0" borderId="4" xfId="19" applyNumberFormat="1" applyFont="1" applyFill="1" applyBorder="1" applyAlignment="1">
      <alignment horizontal="center" vertical="center" textRotation="90" wrapText="1"/>
    </xf>
    <xf numFmtId="2" fontId="26" fillId="0" borderId="2" xfId="0" applyNumberFormat="1" applyFont="1" applyFill="1" applyBorder="1" applyAlignment="1">
      <alignment horizontal="center" vertical="center" textRotation="90" wrapText="1"/>
    </xf>
    <xf numFmtId="2" fontId="26" fillId="0" borderId="4" xfId="0" applyNumberFormat="1" applyFont="1" applyFill="1" applyBorder="1" applyAlignment="1">
      <alignment horizontal="center" vertical="center" textRotation="90" wrapText="1"/>
    </xf>
    <xf numFmtId="0" fontId="30" fillId="0" borderId="0" xfId="19" applyFont="1" applyFill="1" applyAlignment="1">
      <alignment horizontal="right" wrapText="1"/>
    </xf>
    <xf numFmtId="0" fontId="30" fillId="0" borderId="0" xfId="19" applyFont="1" applyFill="1" applyAlignment="1">
      <alignment horizontal="right" vertical="center" wrapText="1"/>
    </xf>
    <xf numFmtId="0" fontId="40" fillId="0" borderId="0" xfId="19" applyFont="1" applyFill="1" applyAlignment="1">
      <alignment horizontal="center" vertical="center" wrapText="1"/>
    </xf>
    <xf numFmtId="0" fontId="30" fillId="0" borderId="1" xfId="29" applyFont="1" applyFill="1" applyBorder="1" applyAlignment="1">
      <alignment horizontal="center" vertical="center" wrapText="1"/>
    </xf>
    <xf numFmtId="0" fontId="30" fillId="0" borderId="1" xfId="29" applyFont="1" applyFill="1" applyBorder="1" applyAlignment="1">
      <alignment vertical="center" wrapText="1"/>
    </xf>
    <xf numFmtId="0" fontId="30" fillId="0" borderId="1" xfId="29" applyFont="1" applyFill="1" applyBorder="1" applyAlignment="1">
      <alignment vertical="center"/>
    </xf>
    <xf numFmtId="0" fontId="30" fillId="0" borderId="1" xfId="29" applyFont="1" applyFill="1" applyBorder="1" applyAlignment="1">
      <alignment horizontal="center" vertical="center" textRotation="90" wrapText="1"/>
    </xf>
    <xf numFmtId="0" fontId="30" fillId="0" borderId="2" xfId="29" applyFont="1" applyFill="1" applyBorder="1" applyAlignment="1">
      <alignment horizontal="center" vertical="center" textRotation="90" wrapText="1"/>
    </xf>
    <xf numFmtId="0" fontId="30" fillId="0" borderId="3" xfId="29" applyFont="1" applyFill="1" applyBorder="1" applyAlignment="1">
      <alignment vertical="center" wrapText="1"/>
    </xf>
    <xf numFmtId="0" fontId="30" fillId="0" borderId="4" xfId="29" applyFont="1" applyFill="1" applyBorder="1" applyAlignment="1">
      <alignment vertical="center"/>
    </xf>
    <xf numFmtId="0" fontId="26" fillId="0" borderId="6" xfId="29" applyFont="1" applyFill="1" applyBorder="1" applyAlignment="1">
      <alignment horizontal="center" vertical="center"/>
    </xf>
    <xf numFmtId="0" fontId="26" fillId="0" borderId="7" xfId="29" applyFont="1" applyFill="1" applyBorder="1" applyAlignment="1">
      <alignment horizontal="center" vertical="center"/>
    </xf>
    <xf numFmtId="0" fontId="26" fillId="0" borderId="5" xfId="29" applyFont="1" applyFill="1" applyBorder="1" applyAlignment="1">
      <alignment horizontal="center" vertical="center"/>
    </xf>
    <xf numFmtId="0" fontId="30" fillId="0" borderId="2" xfId="29" applyFont="1" applyFill="1" applyBorder="1" applyAlignment="1">
      <alignment horizontal="center" textRotation="90" wrapText="1"/>
    </xf>
    <xf numFmtId="0" fontId="30" fillId="0" borderId="3" xfId="29" applyFont="1" applyFill="1" applyBorder="1" applyAlignment="1">
      <alignment horizontal="center" wrapText="1"/>
    </xf>
    <xf numFmtId="0" fontId="30" fillId="0" borderId="4" xfId="29" applyFont="1" applyFill="1" applyBorder="1" applyAlignment="1">
      <alignment horizontal="center" wrapText="1"/>
    </xf>
    <xf numFmtId="0" fontId="30" fillId="0" borderId="3" xfId="29" applyFont="1" applyFill="1" applyBorder="1" applyAlignment="1">
      <alignment horizontal="center" textRotation="90" wrapText="1"/>
    </xf>
    <xf numFmtId="0" fontId="30" fillId="0" borderId="4" xfId="29" applyFont="1" applyFill="1" applyBorder="1" applyAlignment="1">
      <alignment horizontal="center" textRotation="90" wrapText="1"/>
    </xf>
    <xf numFmtId="0" fontId="30" fillId="0" borderId="2" xfId="29" applyFont="1" applyFill="1" applyBorder="1" applyAlignment="1">
      <alignment horizontal="center" vertical="center" wrapText="1"/>
    </xf>
    <xf numFmtId="0" fontId="30" fillId="0" borderId="3" xfId="29" applyFont="1" applyFill="1" applyBorder="1" applyAlignment="1">
      <alignment horizontal="center" vertical="center" wrapText="1"/>
    </xf>
    <xf numFmtId="0" fontId="30" fillId="0" borderId="4" xfId="29" applyFont="1" applyFill="1" applyBorder="1" applyAlignment="1">
      <alignment horizontal="center" vertical="center" wrapText="1"/>
    </xf>
    <xf numFmtId="0" fontId="30" fillId="0" borderId="1" xfId="29" applyFont="1" applyFill="1" applyBorder="1" applyAlignment="1">
      <alignment horizontal="center" textRotation="90" wrapText="1"/>
    </xf>
    <xf numFmtId="0" fontId="30" fillId="0" borderId="1" xfId="29" applyFont="1" applyFill="1" applyBorder="1" applyAlignment="1">
      <alignment horizontal="center" wrapText="1"/>
    </xf>
    <xf numFmtId="0" fontId="30" fillId="0" borderId="4" xfId="29" applyFont="1" applyFill="1" applyBorder="1" applyAlignment="1">
      <alignment horizontal="center" vertical="center"/>
    </xf>
    <xf numFmtId="0" fontId="30" fillId="0" borderId="4" xfId="29" applyFont="1" applyFill="1" applyBorder="1" applyAlignment="1">
      <alignment vertical="center" wrapText="1"/>
    </xf>
    <xf numFmtId="0" fontId="15" fillId="0" borderId="0" xfId="19" applyFont="1" applyAlignment="1">
      <alignment horizontal="right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</cellXfs>
  <cellStyles count="31">
    <cellStyle name="Excel Built-in Normal" xfId="10"/>
    <cellStyle name="Excel Built-in Normal 1" xfId="22"/>
    <cellStyle name="Excel Built-in Normal 2 2" xfId="14"/>
    <cellStyle name="Обычный" xfId="0" builtinId="0"/>
    <cellStyle name="Обычный 10" xfId="11"/>
    <cellStyle name="Обычный 11" xfId="19"/>
    <cellStyle name="Обычный 13" xfId="17"/>
    <cellStyle name="Обычный 14" xfId="1"/>
    <cellStyle name="Обычный 15" xfId="24"/>
    <cellStyle name="Обычный 17" xfId="6"/>
    <cellStyle name="Обычный 18" xfId="4"/>
    <cellStyle name="Обычный 19" xfId="5"/>
    <cellStyle name="Обычный 2" xfId="9"/>
    <cellStyle name="Обычный 2 10" xfId="12"/>
    <cellStyle name="Обычный 2 2 2" xfId="16"/>
    <cellStyle name="Обычный 2 3" xfId="26"/>
    <cellStyle name="Обычный 2 8" xfId="29"/>
    <cellStyle name="Обычный 21" xfId="7"/>
    <cellStyle name="Обычный 3" xfId="2"/>
    <cellStyle name="Обычный 3 16" xfId="8"/>
    <cellStyle name="Обычный 3 2" xfId="27"/>
    <cellStyle name="Обычный 3 3" xfId="15"/>
    <cellStyle name="Обычный 4" xfId="3"/>
    <cellStyle name="Обычный 4 2" xfId="13"/>
    <cellStyle name="Обычный 4 2 2 2" xfId="23"/>
    <cellStyle name="Обычный 5" xfId="20"/>
    <cellStyle name="Обычный 6" xfId="18"/>
    <cellStyle name="Обычный 8" xfId="30"/>
    <cellStyle name="Обычный 9" xfId="21"/>
    <cellStyle name="Обычный_Лист1" xfId="28"/>
    <cellStyle name="Финансовый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1165"/>
  <sheetViews>
    <sheetView view="pageBreakPreview" topLeftCell="B156" zoomScale="20" zoomScaleNormal="20" zoomScaleSheetLayoutView="20" workbookViewId="0">
      <selection activeCell="D162" sqref="D162:D198"/>
    </sheetView>
  </sheetViews>
  <sheetFormatPr defaultColWidth="9.140625" defaultRowHeight="15" x14ac:dyDescent="0.25"/>
  <cols>
    <col min="1" max="1" width="7.28515625" style="21" hidden="1" customWidth="1"/>
    <col min="2" max="2" width="17" style="22" bestFit="1" customWidth="1"/>
    <col min="3" max="3" width="255.7109375" style="23" bestFit="1" customWidth="1"/>
    <col min="4" max="4" width="70.85546875" style="21" customWidth="1"/>
    <col min="5" max="5" width="67.28515625" style="21" customWidth="1"/>
    <col min="6" max="6" width="71.5703125" style="21" customWidth="1"/>
    <col min="7" max="7" width="70.85546875" style="21" customWidth="1"/>
    <col min="8" max="8" width="58.7109375" style="21" customWidth="1"/>
    <col min="9" max="9" width="58" style="21" customWidth="1"/>
    <col min="10" max="10" width="51.5703125" style="21" customWidth="1"/>
    <col min="11" max="11" width="24.42578125" style="93" customWidth="1"/>
    <col min="12" max="12" width="68.7109375" style="21" customWidth="1"/>
    <col min="13" max="13" width="55.85546875" style="21" customWidth="1"/>
    <col min="14" max="14" width="77.42578125" style="21" customWidth="1"/>
    <col min="15" max="15" width="43" style="21" customWidth="1"/>
    <col min="16" max="16" width="67.5703125" style="21" customWidth="1"/>
    <col min="17" max="17" width="51.5703125" style="21" customWidth="1"/>
    <col min="18" max="18" width="64.42578125" style="21" customWidth="1"/>
    <col min="19" max="19" width="34.42578125" style="21" customWidth="1"/>
    <col min="20" max="20" width="69" style="21" customWidth="1"/>
    <col min="21" max="21" width="60.140625" style="21" customWidth="1"/>
    <col min="22" max="22" width="58.7109375" style="21" customWidth="1"/>
    <col min="23" max="23" width="75.85546875" style="21" customWidth="1"/>
    <col min="24" max="24" width="56.5703125" style="21" customWidth="1"/>
    <col min="25" max="25" width="38" style="21" customWidth="1"/>
    <col min="26" max="26" width="57.28515625" style="21" customWidth="1"/>
    <col min="27" max="27" width="68.7109375" style="21" customWidth="1"/>
    <col min="28" max="28" width="58.7109375" style="21" customWidth="1"/>
    <col min="29" max="30" width="58" style="21" bestFit="1" customWidth="1"/>
    <col min="31" max="31" width="55.140625" style="21" customWidth="1"/>
    <col min="32" max="32" width="51" style="22" customWidth="1"/>
    <col min="33" max="33" width="42.28515625" style="22" customWidth="1"/>
    <col min="34" max="34" width="48.7109375" style="22" customWidth="1"/>
    <col min="35" max="48" width="9.140625" style="21" hidden="1" customWidth="1"/>
    <col min="49" max="49" width="68.42578125" style="21" hidden="1" customWidth="1"/>
    <col min="50" max="75" width="9.140625" style="21" hidden="1" customWidth="1"/>
    <col min="76" max="80" width="9.140625" style="21"/>
    <col min="81" max="81" width="74.140625" style="21" customWidth="1"/>
    <col min="82" max="82" width="55.5703125" style="21" customWidth="1"/>
    <col min="83" max="83" width="45.140625" style="21" customWidth="1"/>
    <col min="84" max="16384" width="9.140625" style="21"/>
  </cols>
  <sheetData>
    <row r="1" spans="2:34" ht="91.5" x14ac:dyDescent="1.25">
      <c r="B1" s="18"/>
      <c r="C1" s="19"/>
      <c r="D1" s="20"/>
      <c r="E1" s="20"/>
      <c r="F1" s="20"/>
      <c r="G1" s="20"/>
      <c r="H1" s="20"/>
      <c r="I1" s="20"/>
      <c r="J1" s="20"/>
      <c r="K1" s="90"/>
      <c r="L1" s="20"/>
      <c r="M1" s="20"/>
      <c r="N1" s="20"/>
      <c r="O1" s="20"/>
      <c r="P1" s="20"/>
      <c r="Q1" s="20"/>
      <c r="R1" s="20"/>
      <c r="S1" s="20"/>
      <c r="T1" s="20"/>
      <c r="U1" s="20"/>
      <c r="V1" s="98"/>
      <c r="W1" s="165" t="s">
        <v>1030</v>
      </c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</row>
    <row r="2" spans="2:34" ht="143.25" customHeight="1" x14ac:dyDescent="0.45">
      <c r="B2" s="18"/>
      <c r="C2" s="19"/>
      <c r="D2" s="20"/>
      <c r="E2" s="20"/>
      <c r="F2" s="20"/>
      <c r="G2" s="20"/>
      <c r="H2" s="20"/>
      <c r="I2" s="20"/>
      <c r="J2" s="20"/>
      <c r="K2" s="90"/>
      <c r="L2" s="20"/>
      <c r="M2" s="20"/>
      <c r="N2" s="20"/>
      <c r="O2" s="20"/>
      <c r="P2" s="20"/>
      <c r="Q2" s="20"/>
      <c r="R2" s="20"/>
      <c r="S2" s="20"/>
      <c r="T2" s="20"/>
      <c r="U2" s="20"/>
      <c r="V2" s="166" t="s">
        <v>1031</v>
      </c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</row>
    <row r="3" spans="2:34" ht="154.5" customHeight="1" x14ac:dyDescent="1.25">
      <c r="B3" s="28"/>
      <c r="C3" s="29"/>
      <c r="D3" s="98"/>
      <c r="E3" s="98"/>
      <c r="F3" s="98"/>
      <c r="G3" s="98"/>
      <c r="H3" s="98"/>
      <c r="I3" s="98"/>
      <c r="J3" s="98"/>
      <c r="K3" s="91"/>
      <c r="L3" s="98"/>
      <c r="M3" s="98"/>
      <c r="N3" s="98"/>
      <c r="O3" s="98"/>
      <c r="P3" s="98"/>
      <c r="Q3" s="98"/>
      <c r="R3" s="98"/>
      <c r="S3" s="98"/>
      <c r="T3" s="98"/>
      <c r="U3" s="98"/>
      <c r="V3" s="166" t="s">
        <v>1032</v>
      </c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</row>
    <row r="4" spans="2:34" ht="90" x14ac:dyDescent="1.1499999999999999">
      <c r="B4" s="167" t="s">
        <v>1033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</row>
    <row r="5" spans="2:34" ht="90" x14ac:dyDescent="0.25">
      <c r="B5" s="168" t="s">
        <v>1034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</row>
    <row r="6" spans="2:34" ht="90" x14ac:dyDescent="0.25">
      <c r="B6" s="168" t="s">
        <v>1038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</row>
    <row r="7" spans="2:34" x14ac:dyDescent="0.25">
      <c r="B7" s="164" t="s">
        <v>1035</v>
      </c>
      <c r="C7" s="162" t="s">
        <v>1080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</row>
    <row r="8" spans="2:34" ht="117.75" customHeight="1" x14ac:dyDescent="0.25">
      <c r="B8" s="164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</row>
    <row r="9" spans="2:34" ht="117.75" customHeight="1" x14ac:dyDescent="0.25">
      <c r="B9" s="97" t="s">
        <v>1036</v>
      </c>
      <c r="C9" s="162" t="s">
        <v>1037</v>
      </c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</row>
    <row r="11" spans="2:34" ht="90.75" customHeight="1" x14ac:dyDescent="0.25">
      <c r="B11" s="157" t="s">
        <v>6</v>
      </c>
      <c r="C11" s="157" t="s">
        <v>7</v>
      </c>
      <c r="D11" s="156" t="s">
        <v>8</v>
      </c>
      <c r="E11" s="157" t="s">
        <v>1039</v>
      </c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63" t="s">
        <v>9</v>
      </c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59" t="s">
        <v>10</v>
      </c>
      <c r="AG11" s="159" t="s">
        <v>11</v>
      </c>
      <c r="AH11" s="159" t="s">
        <v>12</v>
      </c>
    </row>
    <row r="12" spans="2:34" ht="90.75" customHeight="1" x14ac:dyDescent="0.25">
      <c r="B12" s="157"/>
      <c r="C12" s="157"/>
      <c r="D12" s="156"/>
      <c r="E12" s="157" t="s">
        <v>13</v>
      </c>
      <c r="F12" s="157"/>
      <c r="G12" s="157"/>
      <c r="H12" s="157"/>
      <c r="I12" s="157"/>
      <c r="J12" s="157"/>
      <c r="K12" s="157" t="s">
        <v>14</v>
      </c>
      <c r="L12" s="157"/>
      <c r="M12" s="157" t="s">
        <v>15</v>
      </c>
      <c r="N12" s="157"/>
      <c r="O12" s="157" t="s">
        <v>16</v>
      </c>
      <c r="P12" s="157"/>
      <c r="Q12" s="157" t="s">
        <v>17</v>
      </c>
      <c r="R12" s="157"/>
      <c r="S12" s="157" t="s">
        <v>18</v>
      </c>
      <c r="T12" s="157"/>
      <c r="U12" s="161" t="s">
        <v>19</v>
      </c>
      <c r="V12" s="161" t="s">
        <v>20</v>
      </c>
      <c r="W12" s="161" t="s">
        <v>21</v>
      </c>
      <c r="X12" s="161" t="s">
        <v>22</v>
      </c>
      <c r="Y12" s="161" t="s">
        <v>23</v>
      </c>
      <c r="Z12" s="161" t="s">
        <v>24</v>
      </c>
      <c r="AA12" s="161" t="s">
        <v>25</v>
      </c>
      <c r="AB12" s="161" t="s">
        <v>26</v>
      </c>
      <c r="AC12" s="161" t="s">
        <v>27</v>
      </c>
      <c r="AD12" s="160" t="s">
        <v>28</v>
      </c>
      <c r="AE12" s="161" t="s">
        <v>29</v>
      </c>
      <c r="AF12" s="159"/>
      <c r="AG12" s="159"/>
      <c r="AH12" s="159"/>
    </row>
    <row r="13" spans="2:34" ht="18.75" customHeight="1" x14ac:dyDescent="0.25">
      <c r="B13" s="157"/>
      <c r="C13" s="157"/>
      <c r="D13" s="156"/>
      <c r="E13" s="159" t="s">
        <v>30</v>
      </c>
      <c r="F13" s="159" t="s">
        <v>31</v>
      </c>
      <c r="G13" s="159" t="s">
        <v>32</v>
      </c>
      <c r="H13" s="159" t="s">
        <v>33</v>
      </c>
      <c r="I13" s="159" t="s">
        <v>34</v>
      </c>
      <c r="J13" s="159" t="s">
        <v>35</v>
      </c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61"/>
      <c r="V13" s="161"/>
      <c r="W13" s="161"/>
      <c r="X13" s="161"/>
      <c r="Y13" s="161"/>
      <c r="Z13" s="161"/>
      <c r="AA13" s="161"/>
      <c r="AB13" s="161"/>
      <c r="AC13" s="161"/>
      <c r="AD13" s="160"/>
      <c r="AE13" s="161"/>
      <c r="AF13" s="159"/>
      <c r="AG13" s="159"/>
      <c r="AH13" s="159"/>
    </row>
    <row r="14" spans="2:34" ht="18.75" customHeight="1" x14ac:dyDescent="0.25">
      <c r="B14" s="157"/>
      <c r="C14" s="157"/>
      <c r="D14" s="156"/>
      <c r="E14" s="159"/>
      <c r="F14" s="159"/>
      <c r="G14" s="159"/>
      <c r="H14" s="159"/>
      <c r="I14" s="159"/>
      <c r="J14" s="159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61"/>
      <c r="V14" s="161"/>
      <c r="W14" s="161"/>
      <c r="X14" s="161"/>
      <c r="Y14" s="161"/>
      <c r="Z14" s="161"/>
      <c r="AA14" s="161"/>
      <c r="AB14" s="161"/>
      <c r="AC14" s="161"/>
      <c r="AD14" s="160"/>
      <c r="AE14" s="161"/>
      <c r="AF14" s="159"/>
      <c r="AG14" s="159"/>
      <c r="AH14" s="159"/>
    </row>
    <row r="15" spans="2:34" ht="18.75" customHeight="1" x14ac:dyDescent="0.25">
      <c r="B15" s="157"/>
      <c r="C15" s="157"/>
      <c r="D15" s="156"/>
      <c r="E15" s="159"/>
      <c r="F15" s="159"/>
      <c r="G15" s="159"/>
      <c r="H15" s="159"/>
      <c r="I15" s="159"/>
      <c r="J15" s="159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61"/>
      <c r="V15" s="161"/>
      <c r="W15" s="161"/>
      <c r="X15" s="161"/>
      <c r="Y15" s="161"/>
      <c r="Z15" s="161"/>
      <c r="AA15" s="161"/>
      <c r="AB15" s="161"/>
      <c r="AC15" s="161"/>
      <c r="AD15" s="160"/>
      <c r="AE15" s="161"/>
      <c r="AF15" s="159"/>
      <c r="AG15" s="159"/>
      <c r="AH15" s="159"/>
    </row>
    <row r="16" spans="2:34" ht="409.5" customHeight="1" x14ac:dyDescent="0.25">
      <c r="B16" s="157"/>
      <c r="C16" s="157"/>
      <c r="D16" s="156"/>
      <c r="E16" s="159"/>
      <c r="F16" s="159"/>
      <c r="G16" s="159"/>
      <c r="H16" s="159"/>
      <c r="I16" s="159"/>
      <c r="J16" s="159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61"/>
      <c r="V16" s="161"/>
      <c r="W16" s="161"/>
      <c r="X16" s="161"/>
      <c r="Y16" s="161"/>
      <c r="Z16" s="161"/>
      <c r="AA16" s="161"/>
      <c r="AB16" s="161"/>
      <c r="AC16" s="161"/>
      <c r="AD16" s="160"/>
      <c r="AE16" s="161"/>
      <c r="AF16" s="159"/>
      <c r="AG16" s="159"/>
      <c r="AH16" s="159"/>
    </row>
    <row r="17" spans="1:50" ht="80.25" customHeight="1" x14ac:dyDescent="0.25">
      <c r="B17" s="158"/>
      <c r="C17" s="158"/>
      <c r="D17" s="101" t="s">
        <v>36</v>
      </c>
      <c r="E17" s="101" t="s">
        <v>36</v>
      </c>
      <c r="F17" s="101" t="s">
        <v>36</v>
      </c>
      <c r="G17" s="101" t="s">
        <v>36</v>
      </c>
      <c r="H17" s="101" t="s">
        <v>36</v>
      </c>
      <c r="I17" s="101" t="s">
        <v>36</v>
      </c>
      <c r="J17" s="101" t="s">
        <v>36</v>
      </c>
      <c r="K17" s="92" t="s">
        <v>37</v>
      </c>
      <c r="L17" s="99" t="s">
        <v>36</v>
      </c>
      <c r="M17" s="99" t="s">
        <v>38</v>
      </c>
      <c r="N17" s="99" t="s">
        <v>36</v>
      </c>
      <c r="O17" s="99" t="s">
        <v>38</v>
      </c>
      <c r="P17" s="99" t="s">
        <v>36</v>
      </c>
      <c r="Q17" s="99" t="s">
        <v>38</v>
      </c>
      <c r="R17" s="99" t="s">
        <v>36</v>
      </c>
      <c r="S17" s="99" t="s">
        <v>39</v>
      </c>
      <c r="T17" s="99" t="s">
        <v>36</v>
      </c>
      <c r="U17" s="99" t="s">
        <v>36</v>
      </c>
      <c r="V17" s="100" t="s">
        <v>36</v>
      </c>
      <c r="W17" s="99" t="s">
        <v>36</v>
      </c>
      <c r="X17" s="99" t="s">
        <v>36</v>
      </c>
      <c r="Y17" s="101" t="s">
        <v>36</v>
      </c>
      <c r="Z17" s="99" t="s">
        <v>36</v>
      </c>
      <c r="AA17" s="99" t="s">
        <v>36</v>
      </c>
      <c r="AB17" s="99" t="s">
        <v>36</v>
      </c>
      <c r="AC17" s="99" t="s">
        <v>36</v>
      </c>
      <c r="AD17" s="101" t="s">
        <v>36</v>
      </c>
      <c r="AE17" s="99" t="s">
        <v>36</v>
      </c>
      <c r="AF17" s="159"/>
      <c r="AG17" s="159"/>
      <c r="AH17" s="159"/>
    </row>
    <row r="18" spans="1:50" ht="59.25" customHeight="1" x14ac:dyDescent="0.25">
      <c r="B18" s="99">
        <v>1</v>
      </c>
      <c r="C18" s="99">
        <v>2</v>
      </c>
      <c r="D18" s="99">
        <v>3</v>
      </c>
      <c r="E18" s="99">
        <v>4</v>
      </c>
      <c r="F18" s="99">
        <v>5</v>
      </c>
      <c r="G18" s="99">
        <v>6</v>
      </c>
      <c r="H18" s="99">
        <v>7</v>
      </c>
      <c r="I18" s="99">
        <v>8</v>
      </c>
      <c r="J18" s="99">
        <v>9</v>
      </c>
      <c r="K18" s="92">
        <v>10</v>
      </c>
      <c r="L18" s="99">
        <v>11</v>
      </c>
      <c r="M18" s="99">
        <v>12</v>
      </c>
      <c r="N18" s="99">
        <v>13</v>
      </c>
      <c r="O18" s="99">
        <v>14</v>
      </c>
      <c r="P18" s="99">
        <v>15</v>
      </c>
      <c r="Q18" s="99">
        <v>16</v>
      </c>
      <c r="R18" s="99">
        <v>17</v>
      </c>
      <c r="S18" s="99">
        <v>18</v>
      </c>
      <c r="T18" s="99">
        <v>19</v>
      </c>
      <c r="U18" s="99">
        <v>20</v>
      </c>
      <c r="V18" s="99">
        <v>21</v>
      </c>
      <c r="W18" s="99">
        <v>22</v>
      </c>
      <c r="X18" s="99">
        <v>23</v>
      </c>
      <c r="Y18" s="99">
        <v>24</v>
      </c>
      <c r="Z18" s="99">
        <v>25</v>
      </c>
      <c r="AA18" s="99">
        <v>26</v>
      </c>
      <c r="AB18" s="99">
        <v>27</v>
      </c>
      <c r="AC18" s="99">
        <v>28</v>
      </c>
      <c r="AD18" s="99">
        <v>29</v>
      </c>
      <c r="AE18" s="99">
        <v>30</v>
      </c>
      <c r="AF18" s="99">
        <v>31</v>
      </c>
      <c r="AG18" s="99">
        <v>32</v>
      </c>
      <c r="AH18" s="99">
        <v>33</v>
      </c>
    </row>
    <row r="19" spans="1:50" ht="99" customHeight="1" x14ac:dyDescent="0.85">
      <c r="B19" s="25" t="s">
        <v>802</v>
      </c>
      <c r="C19" s="80"/>
      <c r="D19" s="31">
        <f t="shared" ref="D19:AE19" si="0">D20+D533+D894</f>
        <v>3187922055.7799997</v>
      </c>
      <c r="E19" s="31">
        <f t="shared" si="0"/>
        <v>12905327.32</v>
      </c>
      <c r="F19" s="31">
        <f t="shared" si="0"/>
        <v>17839013.480000004</v>
      </c>
      <c r="G19" s="31">
        <f t="shared" si="0"/>
        <v>136303929.98999998</v>
      </c>
      <c r="H19" s="31">
        <f t="shared" si="0"/>
        <v>22164391.510000005</v>
      </c>
      <c r="I19" s="31">
        <f t="shared" si="0"/>
        <v>43840536.710000001</v>
      </c>
      <c r="J19" s="31">
        <f t="shared" si="0"/>
        <v>0</v>
      </c>
      <c r="K19" s="106">
        <f t="shared" si="0"/>
        <v>179</v>
      </c>
      <c r="L19" s="31">
        <f t="shared" si="0"/>
        <v>359337943.22000003</v>
      </c>
      <c r="M19" s="31">
        <f t="shared" si="0"/>
        <v>454987.18169511296</v>
      </c>
      <c r="N19" s="31">
        <f t="shared" si="0"/>
        <v>2067081412.5999999</v>
      </c>
      <c r="O19" s="31">
        <f t="shared" si="0"/>
        <v>2803.3</v>
      </c>
      <c r="P19" s="31">
        <f t="shared" si="0"/>
        <v>10226088.119999997</v>
      </c>
      <c r="Q19" s="31">
        <f t="shared" si="0"/>
        <v>112668.52</v>
      </c>
      <c r="R19" s="31">
        <f t="shared" si="0"/>
        <v>339551630.76000005</v>
      </c>
      <c r="S19" s="31">
        <f t="shared" si="0"/>
        <v>749.37</v>
      </c>
      <c r="T19" s="31">
        <f t="shared" si="0"/>
        <v>21132140.739999998</v>
      </c>
      <c r="U19" s="31">
        <f t="shared" si="0"/>
        <v>26214535.68</v>
      </c>
      <c r="V19" s="31">
        <f t="shared" si="0"/>
        <v>501926.25</v>
      </c>
      <c r="W19" s="31">
        <f t="shared" si="0"/>
        <v>0</v>
      </c>
      <c r="X19" s="31">
        <f t="shared" si="0"/>
        <v>0</v>
      </c>
      <c r="Y19" s="31">
        <f t="shared" si="0"/>
        <v>0</v>
      </c>
      <c r="Z19" s="31">
        <f t="shared" si="0"/>
        <v>0</v>
      </c>
      <c r="AA19" s="31">
        <f t="shared" si="0"/>
        <v>0</v>
      </c>
      <c r="AB19" s="31">
        <f t="shared" si="0"/>
        <v>0</v>
      </c>
      <c r="AC19" s="31">
        <f t="shared" si="0"/>
        <v>40332642.120000012</v>
      </c>
      <c r="AD19" s="31">
        <f t="shared" si="0"/>
        <v>87730537.280000001</v>
      </c>
      <c r="AE19" s="31">
        <f t="shared" si="0"/>
        <v>2760000</v>
      </c>
      <c r="AF19" s="77" t="s">
        <v>801</v>
      </c>
      <c r="AG19" s="77" t="s">
        <v>801</v>
      </c>
      <c r="AH19" s="107" t="s">
        <v>801</v>
      </c>
    </row>
    <row r="20" spans="1:50" ht="87.75" customHeight="1" x14ac:dyDescent="0.85">
      <c r="B20" s="25" t="s">
        <v>803</v>
      </c>
      <c r="C20" s="80"/>
      <c r="D20" s="71">
        <f t="shared" ref="D20:AE20" si="1">D21+D126+D161+D199+D230+D236+D266+D281+D274+D288+D291+D297+D303+D305+D321+D334+D339+D346+D343+D349+D352+D354+D372+D369+D374+D376+D380+D383+D385+D389+D399+D391+D401+D403+D409+D411+D414+D423+D429+D431+D441+D443+D445+D449+D451+D453+D460+D469+D478+D483+D489+D491+D493+D495+D497+D499+D506+D508+D510+D512+D519+D525+D529+D531+D286+D447+D481</f>
        <v>1597069381.52</v>
      </c>
      <c r="E20" s="71">
        <f t="shared" si="1"/>
        <v>10408515.290000001</v>
      </c>
      <c r="F20" s="71">
        <f t="shared" si="1"/>
        <v>14224777.570000002</v>
      </c>
      <c r="G20" s="71">
        <f t="shared" si="1"/>
        <v>114800787.03999999</v>
      </c>
      <c r="H20" s="71">
        <f t="shared" si="1"/>
        <v>16546345.900000004</v>
      </c>
      <c r="I20" s="71">
        <f t="shared" si="1"/>
        <v>29297061.190000001</v>
      </c>
      <c r="J20" s="71">
        <f t="shared" si="1"/>
        <v>0</v>
      </c>
      <c r="K20" s="108">
        <f t="shared" si="1"/>
        <v>126</v>
      </c>
      <c r="L20" s="71">
        <f t="shared" si="1"/>
        <v>246621502.16000003</v>
      </c>
      <c r="M20" s="71">
        <f t="shared" si="1"/>
        <v>188698.97712089994</v>
      </c>
      <c r="N20" s="71">
        <f t="shared" si="1"/>
        <v>824024185.80000007</v>
      </c>
      <c r="O20" s="71">
        <f t="shared" si="1"/>
        <v>2657.3</v>
      </c>
      <c r="P20" s="71">
        <f t="shared" si="1"/>
        <v>9860148.5099999979</v>
      </c>
      <c r="Q20" s="71">
        <f t="shared" si="1"/>
        <v>82552.13</v>
      </c>
      <c r="R20" s="71">
        <f t="shared" si="1"/>
        <v>247608171.36000001</v>
      </c>
      <c r="S20" s="71">
        <f t="shared" si="1"/>
        <v>272.60000000000002</v>
      </c>
      <c r="T20" s="71">
        <f t="shared" si="1"/>
        <v>3974239.5799999996</v>
      </c>
      <c r="U20" s="71">
        <f t="shared" si="1"/>
        <v>26214535.68</v>
      </c>
      <c r="V20" s="71">
        <f t="shared" si="1"/>
        <v>501926.25</v>
      </c>
      <c r="W20" s="71">
        <f t="shared" si="1"/>
        <v>0</v>
      </c>
      <c r="X20" s="71">
        <f t="shared" si="1"/>
        <v>0</v>
      </c>
      <c r="Y20" s="71">
        <f t="shared" si="1"/>
        <v>0</v>
      </c>
      <c r="Z20" s="71">
        <f t="shared" si="1"/>
        <v>0</v>
      </c>
      <c r="AA20" s="71">
        <f t="shared" si="1"/>
        <v>0</v>
      </c>
      <c r="AB20" s="71">
        <f t="shared" si="1"/>
        <v>0</v>
      </c>
      <c r="AC20" s="71">
        <f t="shared" si="1"/>
        <v>19328138.390000012</v>
      </c>
      <c r="AD20" s="71">
        <f t="shared" si="1"/>
        <v>31379046.799999997</v>
      </c>
      <c r="AE20" s="71">
        <f t="shared" si="1"/>
        <v>2280000</v>
      </c>
      <c r="AF20" s="77" t="s">
        <v>801</v>
      </c>
      <c r="AG20" s="77" t="s">
        <v>801</v>
      </c>
      <c r="AH20" s="107" t="s">
        <v>801</v>
      </c>
    </row>
    <row r="21" spans="1:50" ht="61.5" x14ac:dyDescent="0.85">
      <c r="B21" s="25" t="s">
        <v>1170</v>
      </c>
      <c r="C21" s="109"/>
      <c r="D21" s="71">
        <f t="shared" ref="D21:AE21" si="2">SUM(D22:D125)</f>
        <v>355882113.97999996</v>
      </c>
      <c r="E21" s="71">
        <f t="shared" si="2"/>
        <v>241195.1</v>
      </c>
      <c r="F21" s="71">
        <f t="shared" si="2"/>
        <v>0</v>
      </c>
      <c r="G21" s="71">
        <f t="shared" si="2"/>
        <v>0</v>
      </c>
      <c r="H21" s="71">
        <f t="shared" si="2"/>
        <v>395129.82999999996</v>
      </c>
      <c r="I21" s="71">
        <f t="shared" si="2"/>
        <v>0</v>
      </c>
      <c r="J21" s="71">
        <f t="shared" si="2"/>
        <v>0</v>
      </c>
      <c r="K21" s="108">
        <f t="shared" si="2"/>
        <v>34</v>
      </c>
      <c r="L21" s="71">
        <f t="shared" si="2"/>
        <v>66593059.160000011</v>
      </c>
      <c r="M21" s="71">
        <f t="shared" si="2"/>
        <v>49932.319999999992</v>
      </c>
      <c r="N21" s="71">
        <f t="shared" si="2"/>
        <v>192432768.56</v>
      </c>
      <c r="O21" s="71">
        <f t="shared" si="2"/>
        <v>1058</v>
      </c>
      <c r="P21" s="71">
        <f t="shared" si="2"/>
        <v>2360078.6100000003</v>
      </c>
      <c r="Q21" s="71">
        <f t="shared" si="2"/>
        <v>27505.059999999998</v>
      </c>
      <c r="R21" s="71">
        <f t="shared" si="2"/>
        <v>78136640.200000018</v>
      </c>
      <c r="S21" s="71">
        <f t="shared" si="2"/>
        <v>0</v>
      </c>
      <c r="T21" s="71">
        <f t="shared" si="2"/>
        <v>0</v>
      </c>
      <c r="U21" s="71">
        <f t="shared" si="2"/>
        <v>5133890</v>
      </c>
      <c r="V21" s="71">
        <f t="shared" si="2"/>
        <v>0</v>
      </c>
      <c r="W21" s="71">
        <f t="shared" si="2"/>
        <v>0</v>
      </c>
      <c r="X21" s="71">
        <f t="shared" si="2"/>
        <v>0</v>
      </c>
      <c r="Y21" s="71">
        <f t="shared" si="2"/>
        <v>0</v>
      </c>
      <c r="Z21" s="71">
        <f t="shared" si="2"/>
        <v>0</v>
      </c>
      <c r="AA21" s="71">
        <f t="shared" si="2"/>
        <v>0</v>
      </c>
      <c r="AB21" s="71">
        <f t="shared" si="2"/>
        <v>0</v>
      </c>
      <c r="AC21" s="71">
        <f t="shared" si="2"/>
        <v>4180495.53</v>
      </c>
      <c r="AD21" s="71">
        <f t="shared" si="2"/>
        <v>6408856.9900000002</v>
      </c>
      <c r="AE21" s="71">
        <f t="shared" si="2"/>
        <v>0</v>
      </c>
      <c r="AF21" s="77" t="s">
        <v>801</v>
      </c>
      <c r="AG21" s="77" t="s">
        <v>801</v>
      </c>
      <c r="AH21" s="107" t="s">
        <v>801</v>
      </c>
    </row>
    <row r="22" spans="1:50" ht="61.5" x14ac:dyDescent="0.85">
      <c r="A22" s="21">
        <v>1</v>
      </c>
      <c r="B22" s="70">
        <f>SUBTOTAL(103,$A$22:A22)</f>
        <v>1</v>
      </c>
      <c r="C22" s="25" t="s">
        <v>501</v>
      </c>
      <c r="D22" s="32">
        <f>E22+F22+G22+H22+I22+J22+L22+N22+P22+R22+T22+U22+V22+W22+X22+Y22+Z22+AA22+AB22+AC22+AD22+AE22</f>
        <v>2167472.79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4">
        <v>0</v>
      </c>
      <c r="L22" s="32">
        <v>0</v>
      </c>
      <c r="M22" s="32">
        <v>522</v>
      </c>
      <c r="N22" s="32">
        <v>2064113.48</v>
      </c>
      <c r="O22" s="32">
        <v>0</v>
      </c>
      <c r="P22" s="32"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f>ROUND(N22*1.5%,2)</f>
        <v>30961.7</v>
      </c>
      <c r="AD22" s="32">
        <v>72397.61</v>
      </c>
      <c r="AE22" s="32">
        <v>0</v>
      </c>
      <c r="AF22" s="35">
        <v>2020</v>
      </c>
      <c r="AG22" s="35">
        <v>2020</v>
      </c>
      <c r="AH22" s="36">
        <v>2020</v>
      </c>
      <c r="AT22" s="21" t="e">
        <f t="shared" ref="AT22:AT53" si="3">VLOOKUP(C22,AW:AX,2,FALSE)</f>
        <v>#N/A</v>
      </c>
      <c r="AW22" s="21" t="s">
        <v>516</v>
      </c>
      <c r="AX22" s="21">
        <v>1</v>
      </c>
    </row>
    <row r="23" spans="1:50" ht="61.5" x14ac:dyDescent="0.85">
      <c r="A23" s="21">
        <v>1</v>
      </c>
      <c r="B23" s="70">
        <f>SUBTOTAL(103,$A$22:A23)</f>
        <v>2</v>
      </c>
      <c r="C23" s="25" t="s">
        <v>1141</v>
      </c>
      <c r="D23" s="32">
        <f t="shared" ref="D23:D80" si="4">E23+F23+G23+H23+I23+J23+L23+N23+P23+R23+T23+U23+V23+W23+X23+Y23+Z23+AA23+AB23+AC23+AD23+AE23</f>
        <v>2182589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4">
        <v>0</v>
      </c>
      <c r="L23" s="32">
        <v>0</v>
      </c>
      <c r="M23" s="32">
        <v>500</v>
      </c>
      <c r="N23" s="32">
        <v>2081368.47</v>
      </c>
      <c r="O23" s="32">
        <v>0</v>
      </c>
      <c r="P23" s="32">
        <v>0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f>ROUND(N23*1.5%,2)</f>
        <v>31220.53</v>
      </c>
      <c r="AD23" s="32">
        <v>70000</v>
      </c>
      <c r="AE23" s="32">
        <v>0</v>
      </c>
      <c r="AF23" s="35">
        <v>2020</v>
      </c>
      <c r="AG23" s="35">
        <v>2020</v>
      </c>
      <c r="AH23" s="36">
        <v>2020</v>
      </c>
      <c r="AT23" s="21" t="e">
        <f t="shared" si="3"/>
        <v>#N/A</v>
      </c>
      <c r="AW23" s="21" t="s">
        <v>410</v>
      </c>
      <c r="AX23" s="21">
        <v>1</v>
      </c>
    </row>
    <row r="24" spans="1:50" ht="61.5" x14ac:dyDescent="0.85">
      <c r="A24" s="21">
        <v>1</v>
      </c>
      <c r="B24" s="70">
        <f>SUBTOTAL(103,$A$22:A24)</f>
        <v>3</v>
      </c>
      <c r="C24" s="25" t="s">
        <v>502</v>
      </c>
      <c r="D24" s="32">
        <f t="shared" si="4"/>
        <v>2216111.33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4">
        <v>1</v>
      </c>
      <c r="L24" s="32">
        <v>2146111.33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0</v>
      </c>
      <c r="AC24" s="32">
        <v>0</v>
      </c>
      <c r="AD24" s="32">
        <v>70000</v>
      </c>
      <c r="AE24" s="32">
        <v>0</v>
      </c>
      <c r="AF24" s="35">
        <v>2020</v>
      </c>
      <c r="AG24" s="35">
        <v>2020</v>
      </c>
      <c r="AH24" s="36" t="s">
        <v>275</v>
      </c>
      <c r="AT24" s="21" t="e">
        <f t="shared" si="3"/>
        <v>#N/A</v>
      </c>
      <c r="AW24" s="21" t="s">
        <v>667</v>
      </c>
      <c r="AX24" s="21">
        <v>1</v>
      </c>
    </row>
    <row r="25" spans="1:50" ht="61.5" x14ac:dyDescent="0.85">
      <c r="A25" s="21">
        <v>1</v>
      </c>
      <c r="B25" s="70">
        <f>SUBTOTAL(103,$A$22:A25)</f>
        <v>4</v>
      </c>
      <c r="C25" s="25" t="s">
        <v>503</v>
      </c>
      <c r="D25" s="32">
        <f t="shared" si="4"/>
        <v>2530096.7899999996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4">
        <v>0</v>
      </c>
      <c r="L25" s="32">
        <v>0</v>
      </c>
      <c r="M25" s="32">
        <v>600</v>
      </c>
      <c r="N25" s="32">
        <v>2392486.84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f t="shared" ref="AC25:AC26" si="5">ROUND(N25*1.5%,2)</f>
        <v>35887.300000000003</v>
      </c>
      <c r="AD25" s="32">
        <v>101722.65</v>
      </c>
      <c r="AE25" s="32">
        <v>0</v>
      </c>
      <c r="AF25" s="35">
        <v>2020</v>
      </c>
      <c r="AG25" s="35">
        <v>2020</v>
      </c>
      <c r="AH25" s="36">
        <v>2020</v>
      </c>
      <c r="AT25" s="21" t="e">
        <f t="shared" si="3"/>
        <v>#N/A</v>
      </c>
      <c r="AW25" s="21" t="s">
        <v>50</v>
      </c>
      <c r="AX25" s="21">
        <v>1</v>
      </c>
    </row>
    <row r="26" spans="1:50" ht="61.5" x14ac:dyDescent="0.85">
      <c r="A26" s="21">
        <v>1</v>
      </c>
      <c r="B26" s="70">
        <f>SUBTOTAL(103,$A$22:A26)</f>
        <v>5</v>
      </c>
      <c r="C26" s="25" t="s">
        <v>504</v>
      </c>
      <c r="D26" s="32">
        <f t="shared" si="4"/>
        <v>3370794.11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4">
        <v>0</v>
      </c>
      <c r="L26" s="32">
        <v>0</v>
      </c>
      <c r="M26" s="32">
        <v>790</v>
      </c>
      <c r="N26" s="32">
        <v>3219761.56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f t="shared" si="5"/>
        <v>48296.42</v>
      </c>
      <c r="AD26" s="32">
        <v>102736.13</v>
      </c>
      <c r="AE26" s="32">
        <v>0</v>
      </c>
      <c r="AF26" s="35">
        <v>2020</v>
      </c>
      <c r="AG26" s="35">
        <v>2020</v>
      </c>
      <c r="AH26" s="36">
        <v>2020</v>
      </c>
      <c r="AT26" s="21" t="e">
        <f t="shared" si="3"/>
        <v>#N/A</v>
      </c>
      <c r="AW26" s="21" t="s">
        <v>421</v>
      </c>
      <c r="AX26" s="21">
        <v>1</v>
      </c>
    </row>
    <row r="27" spans="1:50" ht="61.5" x14ac:dyDescent="0.85">
      <c r="A27" s="21">
        <v>1</v>
      </c>
      <c r="B27" s="70">
        <f>SUBTOTAL(103,$A$22:A27)</f>
        <v>6</v>
      </c>
      <c r="C27" s="25" t="s">
        <v>505</v>
      </c>
      <c r="D27" s="32">
        <f t="shared" si="4"/>
        <v>2010905.54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4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  <c r="Q27" s="32">
        <v>412.3</v>
      </c>
      <c r="R27" s="32">
        <v>1912222.21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f>ROUND(R27*1.5%,2)</f>
        <v>28683.33</v>
      </c>
      <c r="AD27" s="32">
        <v>70000</v>
      </c>
      <c r="AE27" s="32">
        <v>0</v>
      </c>
      <c r="AF27" s="35">
        <v>2020</v>
      </c>
      <c r="AG27" s="35">
        <v>2020</v>
      </c>
      <c r="AH27" s="36">
        <v>2020</v>
      </c>
      <c r="AT27" s="21" t="e">
        <f t="shared" si="3"/>
        <v>#N/A</v>
      </c>
      <c r="AW27" s="21" t="s">
        <v>661</v>
      </c>
      <c r="AX27" s="21">
        <v>1</v>
      </c>
    </row>
    <row r="28" spans="1:50" ht="61.5" x14ac:dyDescent="0.85">
      <c r="A28" s="21">
        <v>1</v>
      </c>
      <c r="B28" s="70">
        <f>SUBTOTAL(103,$A$22:A28)</f>
        <v>7</v>
      </c>
      <c r="C28" s="25" t="s">
        <v>506</v>
      </c>
      <c r="D28" s="32">
        <f t="shared" si="4"/>
        <v>2376623.19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4">
        <v>0</v>
      </c>
      <c r="L28" s="32">
        <v>0</v>
      </c>
      <c r="M28" s="32">
        <v>557</v>
      </c>
      <c r="N28" s="32">
        <v>2267609.0499999998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f t="shared" ref="AC28:AC34" si="6">ROUND(N28*1.5%,2)</f>
        <v>34014.14</v>
      </c>
      <c r="AD28" s="32">
        <v>75000</v>
      </c>
      <c r="AE28" s="32">
        <v>0</v>
      </c>
      <c r="AF28" s="35">
        <v>2020</v>
      </c>
      <c r="AG28" s="35">
        <v>2020</v>
      </c>
      <c r="AH28" s="36">
        <v>2020</v>
      </c>
      <c r="AT28" s="21" t="e">
        <f t="shared" si="3"/>
        <v>#N/A</v>
      </c>
      <c r="AW28" s="21" t="s">
        <v>660</v>
      </c>
      <c r="AX28" s="21">
        <v>1</v>
      </c>
    </row>
    <row r="29" spans="1:50" ht="61.5" x14ac:dyDescent="0.85">
      <c r="A29" s="21">
        <v>1</v>
      </c>
      <c r="B29" s="70">
        <f>SUBTOTAL(103,$A$22:A29)</f>
        <v>8</v>
      </c>
      <c r="C29" s="25" t="s">
        <v>507</v>
      </c>
      <c r="D29" s="32">
        <f t="shared" si="4"/>
        <v>3923557.16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4">
        <v>0</v>
      </c>
      <c r="L29" s="32">
        <v>0</v>
      </c>
      <c r="M29" s="32">
        <v>932</v>
      </c>
      <c r="N29" s="32">
        <v>3767051.39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f t="shared" si="6"/>
        <v>56505.77</v>
      </c>
      <c r="AD29" s="32">
        <v>100000</v>
      </c>
      <c r="AE29" s="32">
        <v>0</v>
      </c>
      <c r="AF29" s="35">
        <v>2020</v>
      </c>
      <c r="AG29" s="35">
        <v>2020</v>
      </c>
      <c r="AH29" s="36">
        <v>2020</v>
      </c>
      <c r="AT29" s="21" t="e">
        <f t="shared" si="3"/>
        <v>#N/A</v>
      </c>
      <c r="AW29" s="21" t="s">
        <v>665</v>
      </c>
      <c r="AX29" s="21">
        <v>1</v>
      </c>
    </row>
    <row r="30" spans="1:50" ht="61.5" x14ac:dyDescent="0.85">
      <c r="A30" s="21">
        <v>1</v>
      </c>
      <c r="B30" s="70">
        <f>SUBTOTAL(103,$A$22:A30)</f>
        <v>9</v>
      </c>
      <c r="C30" s="25" t="s">
        <v>508</v>
      </c>
      <c r="D30" s="32">
        <f t="shared" si="4"/>
        <v>2869655.8400000003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4">
        <v>0</v>
      </c>
      <c r="L30" s="32">
        <v>0</v>
      </c>
      <c r="M30" s="32">
        <v>604</v>
      </c>
      <c r="N30" s="32">
        <v>2758281.62</v>
      </c>
      <c r="O30" s="32">
        <v>0</v>
      </c>
      <c r="P30" s="32">
        <v>0</v>
      </c>
      <c r="Q30" s="32">
        <v>0</v>
      </c>
      <c r="R30" s="32">
        <v>0</v>
      </c>
      <c r="S30" s="32">
        <v>0</v>
      </c>
      <c r="T30" s="32">
        <v>0</v>
      </c>
      <c r="U30" s="32">
        <v>0</v>
      </c>
      <c r="V30" s="32">
        <v>0</v>
      </c>
      <c r="W30" s="32">
        <v>0</v>
      </c>
      <c r="X30" s="32">
        <v>0</v>
      </c>
      <c r="Y30" s="32">
        <v>0</v>
      </c>
      <c r="Z30" s="32">
        <v>0</v>
      </c>
      <c r="AA30" s="32">
        <v>0</v>
      </c>
      <c r="AB30" s="32">
        <v>0</v>
      </c>
      <c r="AC30" s="32">
        <f t="shared" si="6"/>
        <v>41374.22</v>
      </c>
      <c r="AD30" s="32">
        <v>70000</v>
      </c>
      <c r="AE30" s="32">
        <v>0</v>
      </c>
      <c r="AF30" s="35">
        <v>2020</v>
      </c>
      <c r="AG30" s="35">
        <v>2020</v>
      </c>
      <c r="AH30" s="36">
        <v>2020</v>
      </c>
      <c r="AT30" s="21" t="e">
        <f t="shared" si="3"/>
        <v>#N/A</v>
      </c>
      <c r="AW30" s="21" t="s">
        <v>241</v>
      </c>
      <c r="AX30" s="21">
        <v>1</v>
      </c>
    </row>
    <row r="31" spans="1:50" ht="61.5" x14ac:dyDescent="0.85">
      <c r="A31" s="21">
        <v>1</v>
      </c>
      <c r="B31" s="70">
        <f>SUBTOTAL(103,$A$22:A31)</f>
        <v>10</v>
      </c>
      <c r="C31" s="25" t="s">
        <v>509</v>
      </c>
      <c r="D31" s="32">
        <f t="shared" si="4"/>
        <v>1485498.48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4">
        <v>0</v>
      </c>
      <c r="L31" s="32">
        <v>0</v>
      </c>
      <c r="M31" s="32">
        <v>360</v>
      </c>
      <c r="N31" s="32">
        <v>1394579.78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f t="shared" si="6"/>
        <v>20918.7</v>
      </c>
      <c r="AD31" s="32">
        <v>70000</v>
      </c>
      <c r="AE31" s="32">
        <v>0</v>
      </c>
      <c r="AF31" s="35">
        <v>2020</v>
      </c>
      <c r="AG31" s="35">
        <v>2020</v>
      </c>
      <c r="AH31" s="36">
        <v>2020</v>
      </c>
      <c r="AT31" s="21" t="e">
        <f t="shared" si="3"/>
        <v>#N/A</v>
      </c>
      <c r="AW31" s="21" t="s">
        <v>131</v>
      </c>
      <c r="AX31" s="21">
        <v>1</v>
      </c>
    </row>
    <row r="32" spans="1:50" ht="61.5" x14ac:dyDescent="0.85">
      <c r="A32" s="21">
        <v>1</v>
      </c>
      <c r="B32" s="70">
        <f>SUBTOTAL(103,$A$22:A32)</f>
        <v>11</v>
      </c>
      <c r="C32" s="25" t="s">
        <v>510</v>
      </c>
      <c r="D32" s="32">
        <f t="shared" si="4"/>
        <v>2576347.41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4">
        <v>0</v>
      </c>
      <c r="L32" s="32">
        <v>0</v>
      </c>
      <c r="M32" s="32">
        <v>612</v>
      </c>
      <c r="N32" s="32">
        <v>2439751.14</v>
      </c>
      <c r="O32" s="32">
        <v>0</v>
      </c>
      <c r="P32" s="32">
        <v>0</v>
      </c>
      <c r="Q32" s="32">
        <v>0</v>
      </c>
      <c r="R32" s="32">
        <v>0</v>
      </c>
      <c r="S32" s="32">
        <v>0</v>
      </c>
      <c r="T32" s="32">
        <v>0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f t="shared" si="6"/>
        <v>36596.269999999997</v>
      </c>
      <c r="AD32" s="32">
        <v>100000</v>
      </c>
      <c r="AE32" s="32">
        <v>0</v>
      </c>
      <c r="AF32" s="35">
        <v>2020</v>
      </c>
      <c r="AG32" s="35">
        <v>2020</v>
      </c>
      <c r="AH32" s="36">
        <v>2020</v>
      </c>
      <c r="AT32" s="21" t="e">
        <f t="shared" si="3"/>
        <v>#N/A</v>
      </c>
      <c r="AW32" s="21" t="s">
        <v>451</v>
      </c>
      <c r="AX32" s="21">
        <v>1</v>
      </c>
    </row>
    <row r="33" spans="1:50" ht="61.5" x14ac:dyDescent="0.85">
      <c r="A33" s="21">
        <v>1</v>
      </c>
      <c r="B33" s="70">
        <f>SUBTOTAL(103,$A$22:A33)</f>
        <v>12</v>
      </c>
      <c r="C33" s="25" t="s">
        <v>511</v>
      </c>
      <c r="D33" s="32">
        <f t="shared" si="4"/>
        <v>5275854.7</v>
      </c>
      <c r="E33" s="32">
        <v>0</v>
      </c>
      <c r="F33" s="32">
        <v>0</v>
      </c>
      <c r="G33" s="32">
        <v>0</v>
      </c>
      <c r="H33" s="32">
        <v>0</v>
      </c>
      <c r="I33" s="32">
        <v>0</v>
      </c>
      <c r="J33" s="32">
        <v>0</v>
      </c>
      <c r="K33" s="34">
        <v>0</v>
      </c>
      <c r="L33" s="32">
        <v>0</v>
      </c>
      <c r="M33" s="32">
        <v>1248.2</v>
      </c>
      <c r="N33" s="32">
        <v>5050103.1500000004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0</v>
      </c>
      <c r="AC33" s="32">
        <f t="shared" si="6"/>
        <v>75751.55</v>
      </c>
      <c r="AD33" s="32">
        <v>150000</v>
      </c>
      <c r="AE33" s="32">
        <v>0</v>
      </c>
      <c r="AF33" s="35">
        <v>2020</v>
      </c>
      <c r="AG33" s="35">
        <v>2020</v>
      </c>
      <c r="AH33" s="36">
        <v>2020</v>
      </c>
      <c r="AT33" s="21" t="e">
        <f t="shared" si="3"/>
        <v>#N/A</v>
      </c>
      <c r="AW33" s="21" t="s">
        <v>838</v>
      </c>
      <c r="AX33" s="21">
        <v>1</v>
      </c>
    </row>
    <row r="34" spans="1:50" ht="61.5" x14ac:dyDescent="0.85">
      <c r="A34" s="21">
        <v>1</v>
      </c>
      <c r="B34" s="70">
        <f>SUBTOTAL(103,$A$22:A34)</f>
        <v>13</v>
      </c>
      <c r="C34" s="25" t="s">
        <v>512</v>
      </c>
      <c r="D34" s="32">
        <f t="shared" si="4"/>
        <v>3988265.4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4">
        <v>0</v>
      </c>
      <c r="L34" s="32">
        <v>0</v>
      </c>
      <c r="M34" s="32">
        <v>947.4</v>
      </c>
      <c r="N34" s="32">
        <v>3830803.35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f t="shared" si="6"/>
        <v>57462.05</v>
      </c>
      <c r="AD34" s="32">
        <v>100000</v>
      </c>
      <c r="AE34" s="32">
        <v>0</v>
      </c>
      <c r="AF34" s="35">
        <v>2020</v>
      </c>
      <c r="AG34" s="35">
        <v>2020</v>
      </c>
      <c r="AH34" s="36">
        <v>2020</v>
      </c>
      <c r="AT34" s="21" t="e">
        <f t="shared" si="3"/>
        <v>#N/A</v>
      </c>
      <c r="AW34" s="21" t="s">
        <v>837</v>
      </c>
      <c r="AX34" s="21">
        <v>1</v>
      </c>
    </row>
    <row r="35" spans="1:50" ht="61.5" x14ac:dyDescent="0.85">
      <c r="A35" s="21">
        <v>1</v>
      </c>
      <c r="B35" s="70">
        <f>SUBTOTAL(103,$A$22:A35)</f>
        <v>14</v>
      </c>
      <c r="C35" s="25" t="s">
        <v>513</v>
      </c>
      <c r="D35" s="32">
        <f t="shared" si="4"/>
        <v>1785060.8199999998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4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370.8</v>
      </c>
      <c r="R35" s="32">
        <v>1660158.44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f>ROUND(R35*1.5%,2)</f>
        <v>24902.38</v>
      </c>
      <c r="AD35" s="32">
        <v>100000</v>
      </c>
      <c r="AE35" s="32">
        <v>0</v>
      </c>
      <c r="AF35" s="35">
        <v>2020</v>
      </c>
      <c r="AG35" s="35">
        <v>2020</v>
      </c>
      <c r="AH35" s="36">
        <v>2020</v>
      </c>
      <c r="AT35" s="21" t="e">
        <f t="shared" si="3"/>
        <v>#N/A</v>
      </c>
      <c r="AW35" s="21" t="s">
        <v>865</v>
      </c>
      <c r="AX35" s="21">
        <v>1</v>
      </c>
    </row>
    <row r="36" spans="1:50" ht="61.5" x14ac:dyDescent="0.85">
      <c r="A36" s="21">
        <v>1</v>
      </c>
      <c r="B36" s="70">
        <f>SUBTOTAL(103,$A$22:A36)</f>
        <v>15</v>
      </c>
      <c r="C36" s="25" t="s">
        <v>514</v>
      </c>
      <c r="D36" s="32">
        <f t="shared" si="4"/>
        <v>2688101.64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4">
        <v>0</v>
      </c>
      <c r="L36" s="32">
        <v>0</v>
      </c>
      <c r="M36" s="32">
        <v>630</v>
      </c>
      <c r="N36" s="32">
        <v>2549853.83</v>
      </c>
      <c r="O36" s="32">
        <v>0</v>
      </c>
      <c r="P36" s="32">
        <v>0</v>
      </c>
      <c r="Q36" s="32">
        <v>0</v>
      </c>
      <c r="R36" s="32">
        <v>0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2">
        <v>0</v>
      </c>
      <c r="Y36" s="32">
        <v>0</v>
      </c>
      <c r="Z36" s="32">
        <v>0</v>
      </c>
      <c r="AA36" s="32">
        <v>0</v>
      </c>
      <c r="AB36" s="32">
        <v>0</v>
      </c>
      <c r="AC36" s="32">
        <f t="shared" ref="AC36:AC37" si="7">ROUND(N36*1.5%,2)</f>
        <v>38247.81</v>
      </c>
      <c r="AD36" s="32">
        <v>100000</v>
      </c>
      <c r="AE36" s="32">
        <v>0</v>
      </c>
      <c r="AF36" s="35">
        <v>2020</v>
      </c>
      <c r="AG36" s="35">
        <v>2020</v>
      </c>
      <c r="AH36" s="36">
        <v>2020</v>
      </c>
      <c r="AT36" s="21" t="e">
        <f t="shared" si="3"/>
        <v>#N/A</v>
      </c>
      <c r="AW36" s="21" t="s">
        <v>716</v>
      </c>
      <c r="AX36" s="21">
        <v>1</v>
      </c>
    </row>
    <row r="37" spans="1:50" ht="61.5" x14ac:dyDescent="0.85">
      <c r="A37" s="21">
        <v>1</v>
      </c>
      <c r="B37" s="70">
        <f>SUBTOTAL(103,$A$22:A37)</f>
        <v>16</v>
      </c>
      <c r="C37" s="25" t="s">
        <v>515</v>
      </c>
      <c r="D37" s="32">
        <f t="shared" si="4"/>
        <v>4308763.3600000003</v>
      </c>
      <c r="E37" s="32">
        <v>0</v>
      </c>
      <c r="F37" s="32">
        <v>0</v>
      </c>
      <c r="G37" s="32">
        <v>0</v>
      </c>
      <c r="H37" s="32">
        <v>0</v>
      </c>
      <c r="I37" s="32">
        <v>0</v>
      </c>
      <c r="J37" s="32">
        <v>0</v>
      </c>
      <c r="K37" s="34">
        <v>0</v>
      </c>
      <c r="L37" s="32">
        <v>0</v>
      </c>
      <c r="M37" s="32">
        <v>1199</v>
      </c>
      <c r="N37" s="32">
        <v>4146564.89</v>
      </c>
      <c r="O37" s="32">
        <v>0</v>
      </c>
      <c r="P37" s="32">
        <v>0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f t="shared" si="7"/>
        <v>62198.47</v>
      </c>
      <c r="AD37" s="32">
        <v>100000</v>
      </c>
      <c r="AE37" s="32">
        <v>0</v>
      </c>
      <c r="AF37" s="35">
        <v>2020</v>
      </c>
      <c r="AG37" s="35">
        <v>2020</v>
      </c>
      <c r="AH37" s="36">
        <v>2020</v>
      </c>
      <c r="AT37" s="21" t="e">
        <f t="shared" si="3"/>
        <v>#N/A</v>
      </c>
      <c r="AW37" s="21" t="s">
        <v>227</v>
      </c>
      <c r="AX37" s="21">
        <v>1</v>
      </c>
    </row>
    <row r="38" spans="1:50" ht="61.5" x14ac:dyDescent="0.85">
      <c r="A38" s="21">
        <v>1</v>
      </c>
      <c r="B38" s="70">
        <f>SUBTOTAL(103,$A$22:A38)</f>
        <v>17</v>
      </c>
      <c r="C38" s="25" t="s">
        <v>516</v>
      </c>
      <c r="D38" s="32">
        <f t="shared" si="4"/>
        <v>17965640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4">
        <v>8</v>
      </c>
      <c r="L38" s="32">
        <v>17545640</v>
      </c>
      <c r="M38" s="32">
        <v>0</v>
      </c>
      <c r="N38" s="32">
        <v>0</v>
      </c>
      <c r="O38" s="32">
        <v>0</v>
      </c>
      <c r="P38" s="32">
        <v>0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420000</v>
      </c>
      <c r="AE38" s="32">
        <v>0</v>
      </c>
      <c r="AF38" s="35">
        <v>2020</v>
      </c>
      <c r="AG38" s="35">
        <v>2020</v>
      </c>
      <c r="AH38" s="36" t="s">
        <v>275</v>
      </c>
      <c r="AT38" s="21">
        <f t="shared" si="3"/>
        <v>1</v>
      </c>
    </row>
    <row r="39" spans="1:50" ht="61.5" x14ac:dyDescent="0.85">
      <c r="A39" s="21">
        <v>1</v>
      </c>
      <c r="B39" s="70">
        <f>SUBTOTAL(103,$A$22:A39)</f>
        <v>18</v>
      </c>
      <c r="C39" s="25" t="s">
        <v>517</v>
      </c>
      <c r="D39" s="32">
        <f t="shared" si="4"/>
        <v>1011238.23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4">
        <v>0</v>
      </c>
      <c r="L39" s="32">
        <v>0</v>
      </c>
      <c r="M39" s="32">
        <v>237</v>
      </c>
      <c r="N39" s="32">
        <v>897771.66</v>
      </c>
      <c r="O39" s="32">
        <v>0</v>
      </c>
      <c r="P39" s="32">
        <v>0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f t="shared" ref="AC39:AC42" si="8">ROUND(N39*1.5%,2)</f>
        <v>13466.57</v>
      </c>
      <c r="AD39" s="32">
        <v>100000</v>
      </c>
      <c r="AE39" s="32">
        <v>0</v>
      </c>
      <c r="AF39" s="35">
        <v>2020</v>
      </c>
      <c r="AG39" s="35">
        <v>2020</v>
      </c>
      <c r="AH39" s="36">
        <v>2020</v>
      </c>
      <c r="AT39" s="21" t="e">
        <f t="shared" si="3"/>
        <v>#N/A</v>
      </c>
    </row>
    <row r="40" spans="1:50" ht="61.5" x14ac:dyDescent="0.85">
      <c r="A40" s="21">
        <v>1</v>
      </c>
      <c r="B40" s="70">
        <f>SUBTOTAL(103,$A$22:A40)</f>
        <v>19</v>
      </c>
      <c r="C40" s="25" t="s">
        <v>518</v>
      </c>
      <c r="D40" s="32">
        <f t="shared" si="4"/>
        <v>3680432.55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4">
        <v>0</v>
      </c>
      <c r="L40" s="32">
        <v>0</v>
      </c>
      <c r="M40" s="32">
        <v>1020</v>
      </c>
      <c r="N40" s="32">
        <v>3527519.75</v>
      </c>
      <c r="O40" s="32">
        <v>0</v>
      </c>
      <c r="P40" s="32">
        <v>0</v>
      </c>
      <c r="Q40" s="32">
        <v>0</v>
      </c>
      <c r="R40" s="32">
        <v>0</v>
      </c>
      <c r="S40" s="32">
        <v>0</v>
      </c>
      <c r="T40" s="32">
        <v>0</v>
      </c>
      <c r="U40" s="32">
        <v>0</v>
      </c>
      <c r="V40" s="32">
        <v>0</v>
      </c>
      <c r="W40" s="32">
        <v>0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  <c r="AC40" s="32">
        <f t="shared" si="8"/>
        <v>52912.800000000003</v>
      </c>
      <c r="AD40" s="32">
        <v>100000</v>
      </c>
      <c r="AE40" s="32">
        <v>0</v>
      </c>
      <c r="AF40" s="35">
        <v>2020</v>
      </c>
      <c r="AG40" s="35">
        <v>2020</v>
      </c>
      <c r="AH40" s="36">
        <v>2020</v>
      </c>
      <c r="AT40" s="21" t="e">
        <f t="shared" si="3"/>
        <v>#N/A</v>
      </c>
    </row>
    <row r="41" spans="1:50" ht="61.5" x14ac:dyDescent="0.85">
      <c r="A41" s="21">
        <v>1</v>
      </c>
      <c r="B41" s="70">
        <f>SUBTOTAL(103,$A$22:A41)</f>
        <v>20</v>
      </c>
      <c r="C41" s="25" t="s">
        <v>519</v>
      </c>
      <c r="D41" s="32">
        <f t="shared" si="4"/>
        <v>1493389.79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4">
        <v>0</v>
      </c>
      <c r="L41" s="32">
        <v>0</v>
      </c>
      <c r="M41" s="32">
        <v>350</v>
      </c>
      <c r="N41" s="32">
        <v>1372797.82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f t="shared" si="8"/>
        <v>20591.97</v>
      </c>
      <c r="AD41" s="32">
        <v>100000</v>
      </c>
      <c r="AE41" s="32">
        <v>0</v>
      </c>
      <c r="AF41" s="35">
        <v>2020</v>
      </c>
      <c r="AG41" s="35">
        <v>2020</v>
      </c>
      <c r="AH41" s="36">
        <v>2020</v>
      </c>
      <c r="AT41" s="21" t="e">
        <f t="shared" si="3"/>
        <v>#N/A</v>
      </c>
    </row>
    <row r="42" spans="1:50" ht="61.5" x14ac:dyDescent="0.85">
      <c r="A42" s="21">
        <v>1</v>
      </c>
      <c r="B42" s="70">
        <f>SUBTOTAL(103,$A$22:A42)</f>
        <v>21</v>
      </c>
      <c r="C42" s="25" t="s">
        <v>520</v>
      </c>
      <c r="D42" s="32">
        <f t="shared" si="4"/>
        <v>3225721.96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4">
        <v>0</v>
      </c>
      <c r="L42" s="32">
        <v>0</v>
      </c>
      <c r="M42" s="32">
        <v>756</v>
      </c>
      <c r="N42" s="32">
        <v>3079529.02</v>
      </c>
      <c r="O42" s="32">
        <v>0</v>
      </c>
      <c r="P42" s="32">
        <v>0</v>
      </c>
      <c r="Q42" s="32">
        <v>0</v>
      </c>
      <c r="R42" s="32">
        <v>0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2">
        <v>0</v>
      </c>
      <c r="Y42" s="32">
        <v>0</v>
      </c>
      <c r="Z42" s="32">
        <v>0</v>
      </c>
      <c r="AA42" s="32">
        <v>0</v>
      </c>
      <c r="AB42" s="32">
        <v>0</v>
      </c>
      <c r="AC42" s="32">
        <f t="shared" si="8"/>
        <v>46192.94</v>
      </c>
      <c r="AD42" s="32">
        <v>100000</v>
      </c>
      <c r="AE42" s="32">
        <v>0</v>
      </c>
      <c r="AF42" s="35">
        <v>2020</v>
      </c>
      <c r="AG42" s="35">
        <v>2020</v>
      </c>
      <c r="AH42" s="36">
        <v>2020</v>
      </c>
      <c r="AT42" s="21" t="e">
        <f t="shared" si="3"/>
        <v>#N/A</v>
      </c>
    </row>
    <row r="43" spans="1:50" ht="61.5" x14ac:dyDescent="0.85">
      <c r="A43" s="21">
        <v>1</v>
      </c>
      <c r="B43" s="70">
        <f>SUBTOTAL(103,$A$22:A43)</f>
        <v>22</v>
      </c>
      <c r="C43" s="25" t="s">
        <v>521</v>
      </c>
      <c r="D43" s="32">
        <f t="shared" si="4"/>
        <v>6662526.4900000002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4">
        <v>0</v>
      </c>
      <c r="L43" s="32">
        <v>0</v>
      </c>
      <c r="M43" s="32">
        <v>0</v>
      </c>
      <c r="N43" s="32">
        <v>0</v>
      </c>
      <c r="O43" s="32">
        <v>0</v>
      </c>
      <c r="P43" s="32">
        <v>0</v>
      </c>
      <c r="Q43" s="32">
        <v>2002</v>
      </c>
      <c r="R43" s="32">
        <v>6445838.9100000001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f>ROUND(R43*1.5%,2)</f>
        <v>96687.58</v>
      </c>
      <c r="AD43" s="32">
        <v>120000</v>
      </c>
      <c r="AE43" s="32">
        <v>0</v>
      </c>
      <c r="AF43" s="35">
        <v>2020</v>
      </c>
      <c r="AG43" s="35">
        <v>2020</v>
      </c>
      <c r="AH43" s="36">
        <v>2020</v>
      </c>
      <c r="AT43" s="21" t="e">
        <f t="shared" si="3"/>
        <v>#N/A</v>
      </c>
    </row>
    <row r="44" spans="1:50" ht="61.5" x14ac:dyDescent="0.85">
      <c r="A44" s="21">
        <v>1</v>
      </c>
      <c r="B44" s="70">
        <f>SUBTOTAL(103,$A$22:A44)</f>
        <v>23</v>
      </c>
      <c r="C44" s="25" t="s">
        <v>522</v>
      </c>
      <c r="D44" s="32">
        <f t="shared" si="4"/>
        <v>4466002.71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4">
        <v>0</v>
      </c>
      <c r="L44" s="32">
        <v>0</v>
      </c>
      <c r="M44" s="32">
        <v>1058.4000000000001</v>
      </c>
      <c r="N44" s="32">
        <v>4301480.5</v>
      </c>
      <c r="O44" s="32">
        <v>0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v>0</v>
      </c>
      <c r="AC44" s="32">
        <f t="shared" ref="AC44:AC50" si="9">ROUND(N44*1.5%,2)</f>
        <v>64522.21</v>
      </c>
      <c r="AD44" s="32">
        <v>100000</v>
      </c>
      <c r="AE44" s="32">
        <v>0</v>
      </c>
      <c r="AF44" s="35">
        <v>2020</v>
      </c>
      <c r="AG44" s="35">
        <v>2020</v>
      </c>
      <c r="AH44" s="36">
        <v>2020</v>
      </c>
      <c r="AT44" s="21" t="e">
        <f t="shared" si="3"/>
        <v>#N/A</v>
      </c>
    </row>
    <row r="45" spans="1:50" ht="61.5" x14ac:dyDescent="0.85">
      <c r="A45" s="21">
        <v>1</v>
      </c>
      <c r="B45" s="70">
        <f>SUBTOTAL(103,$A$22:A45)</f>
        <v>24</v>
      </c>
      <c r="C45" s="25" t="s">
        <v>523</v>
      </c>
      <c r="D45" s="32">
        <f t="shared" si="4"/>
        <v>2419201.9300000002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4">
        <v>0</v>
      </c>
      <c r="L45" s="32">
        <v>0</v>
      </c>
      <c r="M45" s="32">
        <v>574.01</v>
      </c>
      <c r="N45" s="32">
        <v>2314484.66</v>
      </c>
      <c r="O45" s="32">
        <v>0</v>
      </c>
      <c r="P45" s="32">
        <v>0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f t="shared" si="9"/>
        <v>34717.269999999997</v>
      </c>
      <c r="AD45" s="32">
        <v>70000</v>
      </c>
      <c r="AE45" s="32">
        <v>0</v>
      </c>
      <c r="AF45" s="35">
        <v>2020</v>
      </c>
      <c r="AG45" s="35">
        <v>2020</v>
      </c>
      <c r="AH45" s="36">
        <v>2020</v>
      </c>
      <c r="AT45" s="21" t="e">
        <f t="shared" si="3"/>
        <v>#N/A</v>
      </c>
    </row>
    <row r="46" spans="1:50" ht="61.5" x14ac:dyDescent="0.85">
      <c r="A46" s="21">
        <v>1</v>
      </c>
      <c r="B46" s="70">
        <f>SUBTOTAL(103,$A$22:A46)</f>
        <v>25</v>
      </c>
      <c r="C46" s="25" t="s">
        <v>524</v>
      </c>
      <c r="D46" s="32">
        <f t="shared" si="4"/>
        <v>4747116.5999999996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4">
        <v>0</v>
      </c>
      <c r="L46" s="32">
        <v>0</v>
      </c>
      <c r="M46" s="32">
        <v>1136</v>
      </c>
      <c r="N46" s="32">
        <v>4578440</v>
      </c>
      <c r="O46" s="32">
        <v>0</v>
      </c>
      <c r="P46" s="32">
        <v>0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f t="shared" si="9"/>
        <v>68676.600000000006</v>
      </c>
      <c r="AD46" s="32">
        <v>100000</v>
      </c>
      <c r="AE46" s="32">
        <v>0</v>
      </c>
      <c r="AF46" s="35">
        <v>2020</v>
      </c>
      <c r="AG46" s="35">
        <v>2020</v>
      </c>
      <c r="AH46" s="36">
        <v>2020</v>
      </c>
      <c r="AT46" s="21" t="e">
        <f t="shared" si="3"/>
        <v>#N/A</v>
      </c>
    </row>
    <row r="47" spans="1:50" ht="61.5" x14ac:dyDescent="0.85">
      <c r="A47" s="21">
        <v>1</v>
      </c>
      <c r="B47" s="70">
        <f>SUBTOTAL(103,$A$22:A47)</f>
        <v>26</v>
      </c>
      <c r="C47" s="25" t="s">
        <v>525</v>
      </c>
      <c r="D47" s="32">
        <f t="shared" si="4"/>
        <v>1318744.33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4">
        <v>0</v>
      </c>
      <c r="L47" s="32">
        <v>0</v>
      </c>
      <c r="M47" s="32">
        <v>316.10000000000002</v>
      </c>
      <c r="N47" s="32">
        <v>1230289.98</v>
      </c>
      <c r="O47" s="32">
        <v>0</v>
      </c>
      <c r="P47" s="32">
        <v>0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f t="shared" si="9"/>
        <v>18454.349999999999</v>
      </c>
      <c r="AD47" s="32">
        <v>70000</v>
      </c>
      <c r="AE47" s="32">
        <v>0</v>
      </c>
      <c r="AF47" s="35">
        <v>2020</v>
      </c>
      <c r="AG47" s="35">
        <v>2020</v>
      </c>
      <c r="AH47" s="36">
        <v>2020</v>
      </c>
      <c r="AT47" s="21" t="e">
        <f t="shared" si="3"/>
        <v>#N/A</v>
      </c>
    </row>
    <row r="48" spans="1:50" ht="61.5" x14ac:dyDescent="0.85">
      <c r="A48" s="21">
        <v>1</v>
      </c>
      <c r="B48" s="70">
        <f>SUBTOTAL(103,$A$22:A48)</f>
        <v>27</v>
      </c>
      <c r="C48" s="25" t="s">
        <v>526</v>
      </c>
      <c r="D48" s="32">
        <f t="shared" si="4"/>
        <v>1791261.3800000001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4">
        <v>0</v>
      </c>
      <c r="L48" s="32">
        <v>0</v>
      </c>
      <c r="M48" s="32">
        <v>432.6</v>
      </c>
      <c r="N48" s="32">
        <v>1695824.02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f t="shared" si="9"/>
        <v>25437.360000000001</v>
      </c>
      <c r="AD48" s="32">
        <v>70000</v>
      </c>
      <c r="AE48" s="32">
        <v>0</v>
      </c>
      <c r="AF48" s="35">
        <v>2020</v>
      </c>
      <c r="AG48" s="35">
        <v>2020</v>
      </c>
      <c r="AH48" s="36">
        <v>2020</v>
      </c>
      <c r="AT48" s="21" t="e">
        <f t="shared" si="3"/>
        <v>#N/A</v>
      </c>
    </row>
    <row r="49" spans="1:46" ht="61.5" x14ac:dyDescent="0.85">
      <c r="A49" s="21">
        <v>1</v>
      </c>
      <c r="B49" s="70">
        <f>SUBTOTAL(103,$A$22:A49)</f>
        <v>28</v>
      </c>
      <c r="C49" s="25" t="s">
        <v>527</v>
      </c>
      <c r="D49" s="32">
        <f t="shared" si="4"/>
        <v>2411249.27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4">
        <v>0</v>
      </c>
      <c r="L49" s="32">
        <v>0</v>
      </c>
      <c r="M49" s="32">
        <v>605</v>
      </c>
      <c r="N49" s="32">
        <v>2277092.88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f t="shared" si="9"/>
        <v>34156.39</v>
      </c>
      <c r="AD49" s="32">
        <v>100000</v>
      </c>
      <c r="AE49" s="32">
        <v>0</v>
      </c>
      <c r="AF49" s="35">
        <v>2020</v>
      </c>
      <c r="AG49" s="35">
        <v>2020</v>
      </c>
      <c r="AH49" s="36">
        <v>2020</v>
      </c>
      <c r="AT49" s="21" t="e">
        <f t="shared" si="3"/>
        <v>#N/A</v>
      </c>
    </row>
    <row r="50" spans="1:46" ht="61.5" x14ac:dyDescent="0.85">
      <c r="A50" s="21">
        <v>1</v>
      </c>
      <c r="B50" s="70">
        <f>SUBTOTAL(103,$A$22:A50)</f>
        <v>29</v>
      </c>
      <c r="C50" s="25" t="s">
        <v>528</v>
      </c>
      <c r="D50" s="32">
        <f t="shared" si="4"/>
        <v>3283580.04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4">
        <v>0</v>
      </c>
      <c r="L50" s="32">
        <v>0</v>
      </c>
      <c r="M50" s="32">
        <v>780</v>
      </c>
      <c r="N50" s="32">
        <v>3136532.06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32">
        <v>0</v>
      </c>
      <c r="Y50" s="32">
        <v>0</v>
      </c>
      <c r="Z50" s="32">
        <v>0</v>
      </c>
      <c r="AA50" s="32">
        <v>0</v>
      </c>
      <c r="AB50" s="32">
        <v>0</v>
      </c>
      <c r="AC50" s="32">
        <f t="shared" si="9"/>
        <v>47047.98</v>
      </c>
      <c r="AD50" s="32">
        <v>100000</v>
      </c>
      <c r="AE50" s="32">
        <v>0</v>
      </c>
      <c r="AF50" s="35">
        <v>2020</v>
      </c>
      <c r="AG50" s="35">
        <v>2020</v>
      </c>
      <c r="AH50" s="36">
        <v>2020</v>
      </c>
      <c r="AT50" s="21" t="e">
        <f t="shared" si="3"/>
        <v>#N/A</v>
      </c>
    </row>
    <row r="51" spans="1:46" ht="61.5" x14ac:dyDescent="0.85">
      <c r="A51" s="21">
        <v>1</v>
      </c>
      <c r="B51" s="70">
        <f>SUBTOTAL(103,$A$22:A51)</f>
        <v>30</v>
      </c>
      <c r="C51" s="25" t="s">
        <v>529</v>
      </c>
      <c r="D51" s="32">
        <f t="shared" si="4"/>
        <v>15280979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4">
        <v>7</v>
      </c>
      <c r="L51" s="32">
        <v>14930979</v>
      </c>
      <c r="M51" s="32">
        <v>0</v>
      </c>
      <c r="N51" s="32">
        <v>0</v>
      </c>
      <c r="O51" s="32">
        <v>0</v>
      </c>
      <c r="P51" s="32">
        <v>0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350000</v>
      </c>
      <c r="AE51" s="32">
        <v>0</v>
      </c>
      <c r="AF51" s="35">
        <v>2020</v>
      </c>
      <c r="AG51" s="35">
        <v>2020</v>
      </c>
      <c r="AH51" s="36" t="s">
        <v>275</v>
      </c>
      <c r="AT51" s="21" t="e">
        <f t="shared" si="3"/>
        <v>#N/A</v>
      </c>
    </row>
    <row r="52" spans="1:46" ht="61.5" x14ac:dyDescent="0.85">
      <c r="A52" s="21">
        <v>1</v>
      </c>
      <c r="B52" s="70">
        <f>SUBTOTAL(103,$A$22:A52)</f>
        <v>31</v>
      </c>
      <c r="C52" s="25" t="s">
        <v>530</v>
      </c>
      <c r="D52" s="32">
        <f t="shared" si="4"/>
        <v>4360892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4">
        <v>2</v>
      </c>
      <c r="L52" s="32">
        <v>4260892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32">
        <v>0</v>
      </c>
      <c r="Y52" s="32">
        <v>0</v>
      </c>
      <c r="Z52" s="32">
        <v>0</v>
      </c>
      <c r="AA52" s="32">
        <v>0</v>
      </c>
      <c r="AB52" s="32">
        <v>0</v>
      </c>
      <c r="AC52" s="32">
        <v>0</v>
      </c>
      <c r="AD52" s="32">
        <v>100000</v>
      </c>
      <c r="AE52" s="32">
        <v>0</v>
      </c>
      <c r="AF52" s="35">
        <v>2020</v>
      </c>
      <c r="AG52" s="35">
        <v>2020</v>
      </c>
      <c r="AH52" s="36" t="s">
        <v>275</v>
      </c>
      <c r="AT52" s="21" t="e">
        <f t="shared" si="3"/>
        <v>#N/A</v>
      </c>
    </row>
    <row r="53" spans="1:46" ht="61.5" x14ac:dyDescent="0.85">
      <c r="A53" s="21">
        <v>1</v>
      </c>
      <c r="B53" s="70">
        <f>SUBTOTAL(103,$A$22:A53)</f>
        <v>32</v>
      </c>
      <c r="C53" s="25" t="s">
        <v>531</v>
      </c>
      <c r="D53" s="32">
        <f t="shared" si="4"/>
        <v>2248303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4">
        <v>1</v>
      </c>
      <c r="L53" s="32">
        <v>2178303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70000</v>
      </c>
      <c r="AE53" s="32">
        <v>0</v>
      </c>
      <c r="AF53" s="35">
        <v>2020</v>
      </c>
      <c r="AG53" s="35">
        <v>2020</v>
      </c>
      <c r="AH53" s="36" t="s">
        <v>275</v>
      </c>
      <c r="AT53" s="21" t="e">
        <f t="shared" si="3"/>
        <v>#N/A</v>
      </c>
    </row>
    <row r="54" spans="1:46" ht="61.5" x14ac:dyDescent="0.85">
      <c r="A54" s="21">
        <v>1</v>
      </c>
      <c r="B54" s="70">
        <f>SUBTOTAL(103,$A$22:A54)</f>
        <v>33</v>
      </c>
      <c r="C54" s="25" t="s">
        <v>532</v>
      </c>
      <c r="D54" s="32">
        <f t="shared" si="4"/>
        <v>4496606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4">
        <v>2</v>
      </c>
      <c r="L54" s="32">
        <v>4396606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>
        <v>0</v>
      </c>
      <c r="Y54" s="32">
        <v>0</v>
      </c>
      <c r="Z54" s="32">
        <v>0</v>
      </c>
      <c r="AA54" s="32">
        <v>0</v>
      </c>
      <c r="AB54" s="32">
        <v>0</v>
      </c>
      <c r="AC54" s="32">
        <v>0</v>
      </c>
      <c r="AD54" s="32">
        <v>100000</v>
      </c>
      <c r="AE54" s="32">
        <v>0</v>
      </c>
      <c r="AF54" s="35">
        <v>2020</v>
      </c>
      <c r="AG54" s="35">
        <v>2020</v>
      </c>
      <c r="AH54" s="36" t="s">
        <v>275</v>
      </c>
      <c r="AT54" s="21" t="e">
        <f t="shared" ref="AT54:AT75" si="10">VLOOKUP(C54,AW:AX,2,FALSE)</f>
        <v>#N/A</v>
      </c>
    </row>
    <row r="55" spans="1:46" ht="61.5" x14ac:dyDescent="0.85">
      <c r="A55" s="21">
        <v>1</v>
      </c>
      <c r="B55" s="70">
        <f>SUBTOTAL(103,$A$22:A55)</f>
        <v>34</v>
      </c>
      <c r="C55" s="25" t="s">
        <v>533</v>
      </c>
      <c r="D55" s="32">
        <f t="shared" si="4"/>
        <v>1387013.57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4">
        <v>0</v>
      </c>
      <c r="L55" s="32">
        <v>0</v>
      </c>
      <c r="M55" s="32">
        <v>332.1</v>
      </c>
      <c r="N55" s="32">
        <v>1297550.32</v>
      </c>
      <c r="O55" s="32">
        <v>0</v>
      </c>
      <c r="P55" s="32"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f t="shared" ref="AC55:AC56" si="11">ROUND(N55*1.5%,2)</f>
        <v>19463.25</v>
      </c>
      <c r="AD55" s="32">
        <v>70000</v>
      </c>
      <c r="AE55" s="32">
        <v>0</v>
      </c>
      <c r="AF55" s="35">
        <v>2020</v>
      </c>
      <c r="AG55" s="35">
        <v>2020</v>
      </c>
      <c r="AH55" s="36">
        <v>2020</v>
      </c>
      <c r="AT55" s="21" t="e">
        <f t="shared" si="10"/>
        <v>#N/A</v>
      </c>
    </row>
    <row r="56" spans="1:46" ht="61.5" x14ac:dyDescent="0.85">
      <c r="A56" s="21">
        <v>1</v>
      </c>
      <c r="B56" s="70">
        <f>SUBTOTAL(103,$A$22:A56)</f>
        <v>35</v>
      </c>
      <c r="C56" s="25" t="s">
        <v>534</v>
      </c>
      <c r="D56" s="32">
        <f t="shared" si="4"/>
        <v>985637.27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4">
        <v>0</v>
      </c>
      <c r="L56" s="32">
        <v>0</v>
      </c>
      <c r="M56" s="32">
        <v>231</v>
      </c>
      <c r="N56" s="32">
        <v>872549.03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f t="shared" si="11"/>
        <v>13088.24</v>
      </c>
      <c r="AD56" s="32">
        <v>100000</v>
      </c>
      <c r="AE56" s="32">
        <v>0</v>
      </c>
      <c r="AF56" s="35">
        <v>2020</v>
      </c>
      <c r="AG56" s="35">
        <v>2020</v>
      </c>
      <c r="AH56" s="36">
        <v>2020</v>
      </c>
      <c r="AT56" s="21" t="e">
        <f t="shared" si="10"/>
        <v>#N/A</v>
      </c>
    </row>
    <row r="57" spans="1:46" ht="61.5" x14ac:dyDescent="0.85">
      <c r="A57" s="21">
        <v>1</v>
      </c>
      <c r="B57" s="70">
        <f>SUBTOTAL(103,$A$22:A57)</f>
        <v>36</v>
      </c>
      <c r="C57" s="25" t="s">
        <v>535</v>
      </c>
      <c r="D57" s="32">
        <f t="shared" si="4"/>
        <v>1473553.8699999999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4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353.32</v>
      </c>
      <c r="R57" s="32">
        <v>1382811.69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f t="shared" ref="AC57:AC58" si="12">ROUND(R57*1.5%,2)</f>
        <v>20742.18</v>
      </c>
      <c r="AD57" s="32">
        <v>70000</v>
      </c>
      <c r="AE57" s="32">
        <v>0</v>
      </c>
      <c r="AF57" s="35">
        <v>2020</v>
      </c>
      <c r="AG57" s="35">
        <v>2020</v>
      </c>
      <c r="AH57" s="36">
        <v>2020</v>
      </c>
      <c r="AT57" s="21" t="e">
        <f t="shared" si="10"/>
        <v>#N/A</v>
      </c>
    </row>
    <row r="58" spans="1:46" ht="61.5" x14ac:dyDescent="0.85">
      <c r="A58" s="21">
        <v>1</v>
      </c>
      <c r="B58" s="70">
        <f>SUBTOTAL(103,$A$22:A58)</f>
        <v>37</v>
      </c>
      <c r="C58" s="25" t="s">
        <v>1142</v>
      </c>
      <c r="D58" s="32">
        <f t="shared" si="4"/>
        <v>3068875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4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860</v>
      </c>
      <c r="R58" s="32">
        <v>2925000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32">
        <v>0</v>
      </c>
      <c r="Y58" s="32">
        <v>0</v>
      </c>
      <c r="Z58" s="32">
        <v>0</v>
      </c>
      <c r="AA58" s="32">
        <v>0</v>
      </c>
      <c r="AB58" s="32">
        <v>0</v>
      </c>
      <c r="AC58" s="32">
        <f t="shared" si="12"/>
        <v>43875</v>
      </c>
      <c r="AD58" s="32">
        <v>100000</v>
      </c>
      <c r="AE58" s="32">
        <v>0</v>
      </c>
      <c r="AF58" s="35">
        <v>2020</v>
      </c>
      <c r="AG58" s="35">
        <v>2020</v>
      </c>
      <c r="AH58" s="36">
        <v>2020</v>
      </c>
      <c r="AT58" s="21" t="e">
        <f t="shared" si="10"/>
        <v>#N/A</v>
      </c>
    </row>
    <row r="59" spans="1:46" ht="61.5" x14ac:dyDescent="0.85">
      <c r="A59" s="21">
        <v>1</v>
      </c>
      <c r="B59" s="70">
        <f>SUBTOTAL(103,$A$22:A59)</f>
        <v>38</v>
      </c>
      <c r="C59" s="25" t="s">
        <v>536</v>
      </c>
      <c r="D59" s="32">
        <f t="shared" si="4"/>
        <v>2248303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4">
        <v>1</v>
      </c>
      <c r="L59" s="32">
        <v>2178303</v>
      </c>
      <c r="M59" s="32">
        <v>0</v>
      </c>
      <c r="N59" s="32">
        <v>0</v>
      </c>
      <c r="O59" s="32">
        <v>0</v>
      </c>
      <c r="P59" s="32">
        <v>0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70000</v>
      </c>
      <c r="AE59" s="32">
        <v>0</v>
      </c>
      <c r="AF59" s="35">
        <v>2020</v>
      </c>
      <c r="AG59" s="35">
        <v>2020</v>
      </c>
      <c r="AH59" s="36" t="s">
        <v>275</v>
      </c>
      <c r="AT59" s="21" t="e">
        <f t="shared" si="10"/>
        <v>#N/A</v>
      </c>
    </row>
    <row r="60" spans="1:46" ht="61.5" x14ac:dyDescent="0.85">
      <c r="A60" s="21">
        <v>1</v>
      </c>
      <c r="B60" s="70">
        <f>SUBTOTAL(103,$A$22:A60)</f>
        <v>39</v>
      </c>
      <c r="C60" s="25" t="s">
        <v>537</v>
      </c>
      <c r="D60" s="32">
        <f t="shared" si="4"/>
        <v>3345041.9099999997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4">
        <v>0</v>
      </c>
      <c r="L60" s="32">
        <v>0</v>
      </c>
      <c r="M60" s="32">
        <v>794.6</v>
      </c>
      <c r="N60" s="32">
        <v>3197085.63</v>
      </c>
      <c r="O60" s="32">
        <v>0</v>
      </c>
      <c r="P60" s="32">
        <v>0</v>
      </c>
      <c r="Q60" s="32">
        <v>0</v>
      </c>
      <c r="R60" s="32">
        <v>0</v>
      </c>
      <c r="S60" s="32">
        <v>0</v>
      </c>
      <c r="T60" s="32">
        <v>0</v>
      </c>
      <c r="U60" s="32">
        <v>0</v>
      </c>
      <c r="V60" s="32">
        <v>0</v>
      </c>
      <c r="W60" s="32">
        <v>0</v>
      </c>
      <c r="X60" s="32">
        <v>0</v>
      </c>
      <c r="Y60" s="32">
        <v>0</v>
      </c>
      <c r="Z60" s="32">
        <v>0</v>
      </c>
      <c r="AA60" s="32">
        <v>0</v>
      </c>
      <c r="AB60" s="32">
        <v>0</v>
      </c>
      <c r="AC60" s="32">
        <f t="shared" ref="AC60:AC75" si="13">ROUND(N60*1.5%,2)</f>
        <v>47956.28</v>
      </c>
      <c r="AD60" s="32">
        <v>100000</v>
      </c>
      <c r="AE60" s="32">
        <v>0</v>
      </c>
      <c r="AF60" s="35">
        <v>2020</v>
      </c>
      <c r="AG60" s="35">
        <v>2020</v>
      </c>
      <c r="AH60" s="36">
        <v>2020</v>
      </c>
      <c r="AT60" s="21" t="e">
        <f t="shared" si="10"/>
        <v>#N/A</v>
      </c>
    </row>
    <row r="61" spans="1:46" ht="61.5" x14ac:dyDescent="0.85">
      <c r="A61" s="21">
        <v>1</v>
      </c>
      <c r="B61" s="70">
        <f>SUBTOTAL(103,$A$22:A61)</f>
        <v>40</v>
      </c>
      <c r="C61" s="25" t="s">
        <v>538</v>
      </c>
      <c r="D61" s="32">
        <f t="shared" si="4"/>
        <v>3596842.14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4">
        <v>0</v>
      </c>
      <c r="L61" s="32">
        <v>0</v>
      </c>
      <c r="M61" s="32">
        <v>861</v>
      </c>
      <c r="N61" s="32">
        <v>3445164.67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f t="shared" si="13"/>
        <v>51677.47</v>
      </c>
      <c r="AD61" s="32">
        <v>100000</v>
      </c>
      <c r="AE61" s="32">
        <v>0</v>
      </c>
      <c r="AF61" s="35">
        <v>2020</v>
      </c>
      <c r="AG61" s="35">
        <v>2020</v>
      </c>
      <c r="AH61" s="36">
        <v>2020</v>
      </c>
      <c r="AT61" s="21" t="e">
        <f t="shared" si="10"/>
        <v>#N/A</v>
      </c>
    </row>
    <row r="62" spans="1:46" ht="61.5" x14ac:dyDescent="0.85">
      <c r="A62" s="21">
        <v>1</v>
      </c>
      <c r="B62" s="70">
        <f>SUBTOTAL(103,$A$22:A62)</f>
        <v>41</v>
      </c>
      <c r="C62" s="25" t="s">
        <v>539</v>
      </c>
      <c r="D62" s="32">
        <f t="shared" si="4"/>
        <v>1174579.6199999999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4">
        <v>0</v>
      </c>
      <c r="L62" s="32">
        <v>0</v>
      </c>
      <c r="M62" s="32">
        <v>287</v>
      </c>
      <c r="N62" s="32">
        <v>1107960.22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f t="shared" si="13"/>
        <v>16619.400000000001</v>
      </c>
      <c r="AD62" s="32">
        <v>50000</v>
      </c>
      <c r="AE62" s="32">
        <v>0</v>
      </c>
      <c r="AF62" s="35">
        <v>2020</v>
      </c>
      <c r="AG62" s="35">
        <v>2020</v>
      </c>
      <c r="AH62" s="36">
        <v>2020</v>
      </c>
      <c r="AT62" s="21" t="e">
        <f t="shared" si="10"/>
        <v>#N/A</v>
      </c>
    </row>
    <row r="63" spans="1:46" ht="61.5" x14ac:dyDescent="0.85">
      <c r="A63" s="21">
        <v>1</v>
      </c>
      <c r="B63" s="70">
        <f>SUBTOTAL(103,$A$22:A63)</f>
        <v>42</v>
      </c>
      <c r="C63" s="25" t="s">
        <v>540</v>
      </c>
      <c r="D63" s="32">
        <f t="shared" si="4"/>
        <v>7166073.3299999991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4">
        <v>0</v>
      </c>
      <c r="L63" s="32">
        <v>0</v>
      </c>
      <c r="M63" s="32">
        <v>1765</v>
      </c>
      <c r="N63" s="32">
        <v>6912387.5199999996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f t="shared" si="13"/>
        <v>103685.81</v>
      </c>
      <c r="AD63" s="32">
        <v>150000</v>
      </c>
      <c r="AE63" s="32">
        <v>0</v>
      </c>
      <c r="AF63" s="35">
        <v>2020</v>
      </c>
      <c r="AG63" s="35">
        <v>2020</v>
      </c>
      <c r="AH63" s="36">
        <v>2020</v>
      </c>
      <c r="AT63" s="21" t="e">
        <f t="shared" si="10"/>
        <v>#N/A</v>
      </c>
    </row>
    <row r="64" spans="1:46" ht="61.5" x14ac:dyDescent="0.85">
      <c r="A64" s="21">
        <v>1</v>
      </c>
      <c r="B64" s="70">
        <f>SUBTOTAL(103,$A$22:A64)</f>
        <v>43</v>
      </c>
      <c r="C64" s="25" t="s">
        <v>541</v>
      </c>
      <c r="D64" s="32">
        <f t="shared" si="4"/>
        <v>8262644.0300000003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4">
        <v>0</v>
      </c>
      <c r="L64" s="32">
        <v>0</v>
      </c>
      <c r="M64" s="32">
        <v>2035</v>
      </c>
      <c r="N64" s="32">
        <v>7992752.7400000002</v>
      </c>
      <c r="O64" s="32">
        <v>0</v>
      </c>
      <c r="P64" s="32">
        <v>0</v>
      </c>
      <c r="Q64" s="32">
        <v>0</v>
      </c>
      <c r="R64" s="32">
        <v>0</v>
      </c>
      <c r="S64" s="32">
        <v>0</v>
      </c>
      <c r="T64" s="32">
        <v>0</v>
      </c>
      <c r="U64" s="32">
        <v>0</v>
      </c>
      <c r="V64" s="32">
        <v>0</v>
      </c>
      <c r="W64" s="32">
        <v>0</v>
      </c>
      <c r="X64" s="32">
        <v>0</v>
      </c>
      <c r="Y64" s="32">
        <v>0</v>
      </c>
      <c r="Z64" s="32">
        <v>0</v>
      </c>
      <c r="AA64" s="32">
        <v>0</v>
      </c>
      <c r="AB64" s="32">
        <v>0</v>
      </c>
      <c r="AC64" s="32">
        <f t="shared" si="13"/>
        <v>119891.29</v>
      </c>
      <c r="AD64" s="32">
        <v>150000</v>
      </c>
      <c r="AE64" s="32">
        <v>0</v>
      </c>
      <c r="AF64" s="35">
        <v>2020</v>
      </c>
      <c r="AG64" s="35">
        <v>2020</v>
      </c>
      <c r="AH64" s="36">
        <v>2020</v>
      </c>
      <c r="AT64" s="21" t="e">
        <f t="shared" si="10"/>
        <v>#N/A</v>
      </c>
    </row>
    <row r="65" spans="1:46" ht="61.5" x14ac:dyDescent="0.85">
      <c r="A65" s="21">
        <v>1</v>
      </c>
      <c r="B65" s="70">
        <f>SUBTOTAL(103,$A$22:A65)</f>
        <v>44</v>
      </c>
      <c r="C65" s="25" t="s">
        <v>542</v>
      </c>
      <c r="D65" s="32">
        <f t="shared" si="4"/>
        <v>3765448.0900000003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4">
        <v>0</v>
      </c>
      <c r="L65" s="32">
        <v>0</v>
      </c>
      <c r="M65" s="32">
        <v>918</v>
      </c>
      <c r="N65" s="32">
        <v>3611278.91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32">
        <v>0</v>
      </c>
      <c r="Y65" s="32">
        <v>0</v>
      </c>
      <c r="Z65" s="32">
        <v>0</v>
      </c>
      <c r="AA65" s="32">
        <v>0</v>
      </c>
      <c r="AB65" s="32">
        <v>0</v>
      </c>
      <c r="AC65" s="32">
        <f t="shared" si="13"/>
        <v>54169.18</v>
      </c>
      <c r="AD65" s="32">
        <v>100000</v>
      </c>
      <c r="AE65" s="32">
        <v>0</v>
      </c>
      <c r="AF65" s="35">
        <v>2020</v>
      </c>
      <c r="AG65" s="35">
        <v>2020</v>
      </c>
      <c r="AH65" s="36">
        <v>2020</v>
      </c>
      <c r="AT65" s="21" t="e">
        <f t="shared" si="10"/>
        <v>#N/A</v>
      </c>
    </row>
    <row r="66" spans="1:46" ht="61.5" x14ac:dyDescent="0.85">
      <c r="A66" s="21">
        <v>1</v>
      </c>
      <c r="B66" s="70">
        <f>SUBTOTAL(103,$A$22:A66)</f>
        <v>45</v>
      </c>
      <c r="C66" s="25" t="s">
        <v>543</v>
      </c>
      <c r="D66" s="32">
        <f t="shared" si="4"/>
        <v>4815288.3599999994</v>
      </c>
      <c r="E66" s="32">
        <v>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4">
        <v>0</v>
      </c>
      <c r="L66" s="32">
        <v>0</v>
      </c>
      <c r="M66" s="32">
        <v>1186</v>
      </c>
      <c r="N66" s="32">
        <v>4645604.3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f t="shared" si="13"/>
        <v>69684.06</v>
      </c>
      <c r="AD66" s="32">
        <v>100000</v>
      </c>
      <c r="AE66" s="32">
        <v>0</v>
      </c>
      <c r="AF66" s="35">
        <v>2020</v>
      </c>
      <c r="AG66" s="35">
        <v>2020</v>
      </c>
      <c r="AH66" s="36">
        <v>2020</v>
      </c>
      <c r="AT66" s="21" t="e">
        <f t="shared" si="10"/>
        <v>#N/A</v>
      </c>
    </row>
    <row r="67" spans="1:46" ht="61.5" x14ac:dyDescent="0.85">
      <c r="A67" s="21">
        <v>1</v>
      </c>
      <c r="B67" s="70">
        <f>SUBTOTAL(103,$A$22:A67)</f>
        <v>46</v>
      </c>
      <c r="C67" s="25" t="s">
        <v>544</v>
      </c>
      <c r="D67" s="32">
        <f t="shared" si="4"/>
        <v>4344134.7699999996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4">
        <v>0</v>
      </c>
      <c r="L67" s="32">
        <v>0</v>
      </c>
      <c r="M67" s="32">
        <v>1045</v>
      </c>
      <c r="N67" s="32">
        <v>4181413.57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32">
        <v>0</v>
      </c>
      <c r="Y67" s="32">
        <v>0</v>
      </c>
      <c r="Z67" s="32">
        <v>0</v>
      </c>
      <c r="AA67" s="32">
        <v>0</v>
      </c>
      <c r="AB67" s="32">
        <v>0</v>
      </c>
      <c r="AC67" s="32">
        <f t="shared" si="13"/>
        <v>62721.2</v>
      </c>
      <c r="AD67" s="32">
        <v>100000</v>
      </c>
      <c r="AE67" s="32">
        <v>0</v>
      </c>
      <c r="AF67" s="35">
        <v>2020</v>
      </c>
      <c r="AG67" s="35">
        <v>2020</v>
      </c>
      <c r="AH67" s="36">
        <v>2020</v>
      </c>
      <c r="AT67" s="21" t="e">
        <f t="shared" si="10"/>
        <v>#N/A</v>
      </c>
    </row>
    <row r="68" spans="1:46" ht="61.5" x14ac:dyDescent="0.85">
      <c r="A68" s="21">
        <v>1</v>
      </c>
      <c r="B68" s="70">
        <f>SUBTOTAL(103,$A$22:A68)</f>
        <v>47</v>
      </c>
      <c r="C68" s="25" t="s">
        <v>545</v>
      </c>
      <c r="D68" s="32">
        <f t="shared" si="4"/>
        <v>2675102.6700000004</v>
      </c>
      <c r="E68" s="32">
        <v>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4">
        <v>0</v>
      </c>
      <c r="L68" s="32">
        <v>0</v>
      </c>
      <c r="M68" s="32">
        <v>627</v>
      </c>
      <c r="N68" s="32">
        <v>2537046.9700000002</v>
      </c>
      <c r="O68" s="32">
        <v>0</v>
      </c>
      <c r="P68" s="32">
        <v>0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f t="shared" si="13"/>
        <v>38055.699999999997</v>
      </c>
      <c r="AD68" s="32">
        <v>100000</v>
      </c>
      <c r="AE68" s="32">
        <v>0</v>
      </c>
      <c r="AF68" s="35">
        <v>2020</v>
      </c>
      <c r="AG68" s="35">
        <v>2020</v>
      </c>
      <c r="AH68" s="36">
        <v>2020</v>
      </c>
      <c r="AT68" s="21" t="e">
        <f t="shared" si="10"/>
        <v>#N/A</v>
      </c>
    </row>
    <row r="69" spans="1:46" ht="61.5" x14ac:dyDescent="0.85">
      <c r="A69" s="21">
        <v>1</v>
      </c>
      <c r="B69" s="70">
        <f>SUBTOTAL(103,$A$22:A69)</f>
        <v>48</v>
      </c>
      <c r="C69" s="25" t="s">
        <v>546</v>
      </c>
      <c r="D69" s="32">
        <f t="shared" si="4"/>
        <v>2302288.7200000002</v>
      </c>
      <c r="E69" s="32">
        <v>0</v>
      </c>
      <c r="F69" s="32">
        <v>0</v>
      </c>
      <c r="G69" s="32">
        <v>0</v>
      </c>
      <c r="H69" s="32">
        <v>0</v>
      </c>
      <c r="I69" s="32">
        <v>0</v>
      </c>
      <c r="J69" s="32">
        <v>0</v>
      </c>
      <c r="K69" s="34">
        <v>0</v>
      </c>
      <c r="L69" s="32">
        <v>0</v>
      </c>
      <c r="M69" s="32">
        <v>575.94000000000005</v>
      </c>
      <c r="N69" s="32">
        <v>2169742.58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0</v>
      </c>
      <c r="Y69" s="32">
        <v>0</v>
      </c>
      <c r="Z69" s="32">
        <v>0</v>
      </c>
      <c r="AA69" s="32">
        <v>0</v>
      </c>
      <c r="AB69" s="32">
        <v>0</v>
      </c>
      <c r="AC69" s="32">
        <f t="shared" si="13"/>
        <v>32546.14</v>
      </c>
      <c r="AD69" s="32">
        <v>100000</v>
      </c>
      <c r="AE69" s="32">
        <v>0</v>
      </c>
      <c r="AF69" s="35">
        <v>2020</v>
      </c>
      <c r="AG69" s="35">
        <v>2020</v>
      </c>
      <c r="AH69" s="36">
        <v>2020</v>
      </c>
      <c r="AT69" s="21" t="e">
        <f t="shared" si="10"/>
        <v>#N/A</v>
      </c>
    </row>
    <row r="70" spans="1:46" ht="61.5" x14ac:dyDescent="0.85">
      <c r="A70" s="21">
        <v>1</v>
      </c>
      <c r="B70" s="70">
        <f>SUBTOTAL(103,$A$22:A70)</f>
        <v>49</v>
      </c>
      <c r="C70" s="25" t="s">
        <v>547</v>
      </c>
      <c r="D70" s="32">
        <f t="shared" si="4"/>
        <v>3507491.94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4">
        <v>0</v>
      </c>
      <c r="L70" s="32">
        <v>0</v>
      </c>
      <c r="M70" s="32">
        <v>839</v>
      </c>
      <c r="N70" s="32">
        <v>3357134.92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32">
        <v>0</v>
      </c>
      <c r="Y70" s="32">
        <v>0</v>
      </c>
      <c r="Z70" s="32">
        <v>0</v>
      </c>
      <c r="AA70" s="32">
        <v>0</v>
      </c>
      <c r="AB70" s="32">
        <v>0</v>
      </c>
      <c r="AC70" s="32">
        <f t="shared" si="13"/>
        <v>50357.02</v>
      </c>
      <c r="AD70" s="32">
        <v>100000</v>
      </c>
      <c r="AE70" s="32">
        <v>0</v>
      </c>
      <c r="AF70" s="35">
        <v>2020</v>
      </c>
      <c r="AG70" s="35">
        <v>2020</v>
      </c>
      <c r="AH70" s="36">
        <v>2020</v>
      </c>
      <c r="AT70" s="21" t="e">
        <f t="shared" si="10"/>
        <v>#N/A</v>
      </c>
    </row>
    <row r="71" spans="1:46" ht="61.5" x14ac:dyDescent="0.85">
      <c r="A71" s="21">
        <v>1</v>
      </c>
      <c r="B71" s="70">
        <f>SUBTOTAL(103,$A$22:A71)</f>
        <v>50</v>
      </c>
      <c r="C71" s="25" t="s">
        <v>548</v>
      </c>
      <c r="D71" s="32">
        <f t="shared" si="4"/>
        <v>4425362.24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4">
        <v>0</v>
      </c>
      <c r="L71" s="32">
        <v>0</v>
      </c>
      <c r="M71" s="32">
        <v>1065</v>
      </c>
      <c r="N71" s="32">
        <v>4261440.63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f t="shared" si="13"/>
        <v>63921.61</v>
      </c>
      <c r="AD71" s="32">
        <v>100000</v>
      </c>
      <c r="AE71" s="32">
        <v>0</v>
      </c>
      <c r="AF71" s="35">
        <v>2020</v>
      </c>
      <c r="AG71" s="35">
        <v>2020</v>
      </c>
      <c r="AH71" s="36">
        <v>2020</v>
      </c>
      <c r="AT71" s="21" t="e">
        <f t="shared" si="10"/>
        <v>#N/A</v>
      </c>
    </row>
    <row r="72" spans="1:46" ht="61.5" x14ac:dyDescent="0.85">
      <c r="A72" s="21">
        <v>1</v>
      </c>
      <c r="B72" s="70">
        <f>SUBTOTAL(103,$A$22:A72)</f>
        <v>51</v>
      </c>
      <c r="C72" s="25" t="s">
        <v>549</v>
      </c>
      <c r="D72" s="32">
        <f t="shared" si="4"/>
        <v>3666132.39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4">
        <v>0</v>
      </c>
      <c r="L72" s="32">
        <v>0</v>
      </c>
      <c r="M72" s="32">
        <v>878</v>
      </c>
      <c r="N72" s="32">
        <v>3513430.93</v>
      </c>
      <c r="O72" s="32">
        <v>0</v>
      </c>
      <c r="P72" s="32">
        <v>0</v>
      </c>
      <c r="Q72" s="32">
        <v>0</v>
      </c>
      <c r="R72" s="32">
        <v>0</v>
      </c>
      <c r="S72" s="32">
        <v>0</v>
      </c>
      <c r="T72" s="32">
        <v>0</v>
      </c>
      <c r="U72" s="32">
        <v>0</v>
      </c>
      <c r="V72" s="32">
        <v>0</v>
      </c>
      <c r="W72" s="32">
        <v>0</v>
      </c>
      <c r="X72" s="32">
        <v>0</v>
      </c>
      <c r="Y72" s="32">
        <v>0</v>
      </c>
      <c r="Z72" s="32">
        <v>0</v>
      </c>
      <c r="AA72" s="32">
        <v>0</v>
      </c>
      <c r="AB72" s="32">
        <v>0</v>
      </c>
      <c r="AC72" s="32">
        <f t="shared" si="13"/>
        <v>52701.46</v>
      </c>
      <c r="AD72" s="32">
        <v>100000</v>
      </c>
      <c r="AE72" s="32">
        <v>0</v>
      </c>
      <c r="AF72" s="35">
        <v>2020</v>
      </c>
      <c r="AG72" s="35">
        <v>2020</v>
      </c>
      <c r="AH72" s="36">
        <v>2020</v>
      </c>
      <c r="AT72" s="21" t="e">
        <f t="shared" si="10"/>
        <v>#N/A</v>
      </c>
    </row>
    <row r="73" spans="1:46" ht="61.5" x14ac:dyDescent="0.85">
      <c r="A73" s="21">
        <v>1</v>
      </c>
      <c r="B73" s="70">
        <f>SUBTOTAL(103,$A$22:A73)</f>
        <v>52</v>
      </c>
      <c r="C73" s="25" t="s">
        <v>550</v>
      </c>
      <c r="D73" s="32">
        <f t="shared" si="4"/>
        <v>4995256.4400000004</v>
      </c>
      <c r="E73" s="32">
        <v>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4">
        <v>0</v>
      </c>
      <c r="L73" s="32">
        <v>0</v>
      </c>
      <c r="M73" s="32">
        <v>1213.0999999999999</v>
      </c>
      <c r="N73" s="32">
        <v>4822912.75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0</v>
      </c>
      <c r="Y73" s="32">
        <v>0</v>
      </c>
      <c r="Z73" s="32">
        <v>0</v>
      </c>
      <c r="AA73" s="32">
        <v>0</v>
      </c>
      <c r="AB73" s="32">
        <v>0</v>
      </c>
      <c r="AC73" s="32">
        <f t="shared" si="13"/>
        <v>72343.69</v>
      </c>
      <c r="AD73" s="32">
        <v>100000</v>
      </c>
      <c r="AE73" s="32">
        <v>0</v>
      </c>
      <c r="AF73" s="35">
        <v>2020</v>
      </c>
      <c r="AG73" s="35">
        <v>2020</v>
      </c>
      <c r="AH73" s="36">
        <v>2020</v>
      </c>
      <c r="AT73" s="21" t="e">
        <f t="shared" si="10"/>
        <v>#N/A</v>
      </c>
    </row>
    <row r="74" spans="1:46" ht="61.5" x14ac:dyDescent="0.85">
      <c r="A74" s="21">
        <v>1</v>
      </c>
      <c r="B74" s="70">
        <f>SUBTOTAL(103,$A$22:A74)</f>
        <v>53</v>
      </c>
      <c r="C74" s="25" t="s">
        <v>551</v>
      </c>
      <c r="D74" s="32">
        <f t="shared" si="4"/>
        <v>2348490.67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4">
        <v>0</v>
      </c>
      <c r="L74" s="32">
        <v>0</v>
      </c>
      <c r="M74" s="32">
        <v>565</v>
      </c>
      <c r="N74" s="32">
        <v>2244818.39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32">
        <v>0</v>
      </c>
      <c r="Y74" s="32">
        <v>0</v>
      </c>
      <c r="Z74" s="32">
        <v>0</v>
      </c>
      <c r="AA74" s="32">
        <v>0</v>
      </c>
      <c r="AB74" s="32">
        <v>0</v>
      </c>
      <c r="AC74" s="32">
        <f t="shared" si="13"/>
        <v>33672.28</v>
      </c>
      <c r="AD74" s="32">
        <v>70000</v>
      </c>
      <c r="AE74" s="32">
        <v>0</v>
      </c>
      <c r="AF74" s="35">
        <v>2020</v>
      </c>
      <c r="AG74" s="35">
        <v>2020</v>
      </c>
      <c r="AH74" s="36">
        <v>2020</v>
      </c>
      <c r="AT74" s="21" t="e">
        <f t="shared" si="10"/>
        <v>#N/A</v>
      </c>
    </row>
    <row r="75" spans="1:46" ht="61.5" x14ac:dyDescent="0.85">
      <c r="A75" s="21">
        <v>1</v>
      </c>
      <c r="B75" s="70">
        <f>SUBTOTAL(103,$A$22:A75)</f>
        <v>54</v>
      </c>
      <c r="C75" s="25" t="s">
        <v>552</v>
      </c>
      <c r="D75" s="32">
        <f t="shared" si="4"/>
        <v>4020280.68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0</v>
      </c>
      <c r="K75" s="34">
        <v>0</v>
      </c>
      <c r="L75" s="32">
        <v>0</v>
      </c>
      <c r="M75" s="32">
        <v>955</v>
      </c>
      <c r="N75" s="32">
        <v>3862345.5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32">
        <f t="shared" si="13"/>
        <v>57935.18</v>
      </c>
      <c r="AD75" s="32">
        <v>100000</v>
      </c>
      <c r="AE75" s="32">
        <v>0</v>
      </c>
      <c r="AF75" s="35">
        <v>2020</v>
      </c>
      <c r="AG75" s="35">
        <v>2020</v>
      </c>
      <c r="AH75" s="36">
        <v>2020</v>
      </c>
      <c r="AT75" s="21" t="e">
        <f t="shared" si="10"/>
        <v>#N/A</v>
      </c>
    </row>
    <row r="76" spans="1:46" ht="61.5" x14ac:dyDescent="0.85">
      <c r="A76" s="21">
        <v>1</v>
      </c>
      <c r="B76" s="70">
        <f>SUBTOTAL(103,$A$22:A76)</f>
        <v>55</v>
      </c>
      <c r="C76" s="25" t="s">
        <v>1479</v>
      </c>
      <c r="D76" s="32">
        <f t="shared" si="4"/>
        <v>1604223.25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4">
        <v>0</v>
      </c>
      <c r="L76" s="32">
        <v>0</v>
      </c>
      <c r="M76" s="32">
        <v>330</v>
      </c>
      <c r="N76" s="32">
        <v>1511550</v>
      </c>
      <c r="O76" s="32">
        <v>0</v>
      </c>
      <c r="P76" s="32">
        <v>0</v>
      </c>
      <c r="Q76" s="32">
        <v>0</v>
      </c>
      <c r="R76" s="32">
        <v>0</v>
      </c>
      <c r="S76" s="32">
        <v>0</v>
      </c>
      <c r="T76" s="32">
        <v>0</v>
      </c>
      <c r="U76" s="32">
        <v>0</v>
      </c>
      <c r="V76" s="32">
        <v>0</v>
      </c>
      <c r="W76" s="32">
        <v>0</v>
      </c>
      <c r="X76" s="32">
        <v>0</v>
      </c>
      <c r="Y76" s="32">
        <v>0</v>
      </c>
      <c r="Z76" s="32">
        <v>0</v>
      </c>
      <c r="AA76" s="32">
        <v>0</v>
      </c>
      <c r="AB76" s="32">
        <v>0</v>
      </c>
      <c r="AC76" s="32">
        <v>22673.25</v>
      </c>
      <c r="AD76" s="32">
        <v>70000</v>
      </c>
      <c r="AE76" s="32">
        <v>0</v>
      </c>
      <c r="AF76" s="35">
        <v>2020</v>
      </c>
      <c r="AG76" s="35">
        <v>2020</v>
      </c>
      <c r="AH76" s="36">
        <v>2020</v>
      </c>
    </row>
    <row r="77" spans="1:46" ht="61.5" x14ac:dyDescent="0.85">
      <c r="A77" s="21">
        <v>1</v>
      </c>
      <c r="B77" s="70">
        <f>SUBTOTAL(103,$A$22:A77)</f>
        <v>56</v>
      </c>
      <c r="C77" s="25" t="s">
        <v>1508</v>
      </c>
      <c r="D77" s="32">
        <f t="shared" si="4"/>
        <v>3884747.5999999996</v>
      </c>
      <c r="E77" s="32">
        <v>0</v>
      </c>
      <c r="F77" s="32">
        <v>0</v>
      </c>
      <c r="G77" s="32">
        <v>0</v>
      </c>
      <c r="H77" s="32">
        <v>0</v>
      </c>
      <c r="I77" s="32">
        <v>0</v>
      </c>
      <c r="J77" s="32">
        <v>0</v>
      </c>
      <c r="K77" s="34">
        <v>0</v>
      </c>
      <c r="L77" s="32">
        <v>0</v>
      </c>
      <c r="M77" s="32">
        <v>831.1</v>
      </c>
      <c r="N77" s="32">
        <v>3738667.59</v>
      </c>
      <c r="O77" s="32">
        <v>0</v>
      </c>
      <c r="P77" s="32">
        <v>0</v>
      </c>
      <c r="Q77" s="32">
        <v>0</v>
      </c>
      <c r="R77" s="32">
        <v>0</v>
      </c>
      <c r="S77" s="32">
        <v>0</v>
      </c>
      <c r="T77" s="32">
        <v>0</v>
      </c>
      <c r="U77" s="32">
        <v>0</v>
      </c>
      <c r="V77" s="32">
        <v>0</v>
      </c>
      <c r="W77" s="32">
        <v>0</v>
      </c>
      <c r="X77" s="32">
        <v>0</v>
      </c>
      <c r="Y77" s="32">
        <v>0</v>
      </c>
      <c r="Z77" s="32">
        <v>0</v>
      </c>
      <c r="AA77" s="32">
        <v>0</v>
      </c>
      <c r="AB77" s="32">
        <v>0</v>
      </c>
      <c r="AC77" s="32">
        <v>56080.01</v>
      </c>
      <c r="AD77" s="32">
        <v>90000</v>
      </c>
      <c r="AE77" s="32">
        <v>0</v>
      </c>
      <c r="AF77" s="35">
        <v>2020</v>
      </c>
      <c r="AG77" s="35">
        <v>2020</v>
      </c>
      <c r="AH77" s="36">
        <v>2020</v>
      </c>
    </row>
    <row r="78" spans="1:46" ht="61.5" x14ac:dyDescent="0.85">
      <c r="A78" s="21">
        <v>1</v>
      </c>
      <c r="B78" s="70">
        <f>SUBTOTAL(103,$A$22:A78)</f>
        <v>57</v>
      </c>
      <c r="C78" s="25" t="s">
        <v>1480</v>
      </c>
      <c r="D78" s="32">
        <f t="shared" si="4"/>
        <v>2248303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2">
        <v>0</v>
      </c>
      <c r="K78" s="34">
        <v>0</v>
      </c>
      <c r="L78" s="32">
        <v>0</v>
      </c>
      <c r="M78" s="32">
        <v>0</v>
      </c>
      <c r="N78" s="32">
        <v>0</v>
      </c>
      <c r="O78" s="32">
        <v>0</v>
      </c>
      <c r="P78" s="32">
        <v>0</v>
      </c>
      <c r="Q78" s="32">
        <v>554</v>
      </c>
      <c r="R78" s="32">
        <v>2146111.33</v>
      </c>
      <c r="S78" s="32">
        <v>0</v>
      </c>
      <c r="T78" s="32">
        <v>0</v>
      </c>
      <c r="U78" s="32">
        <v>0</v>
      </c>
      <c r="V78" s="32">
        <v>0</v>
      </c>
      <c r="W78" s="32">
        <v>0</v>
      </c>
      <c r="X78" s="32">
        <v>0</v>
      </c>
      <c r="Y78" s="32">
        <v>0</v>
      </c>
      <c r="Z78" s="32">
        <v>0</v>
      </c>
      <c r="AA78" s="32">
        <v>0</v>
      </c>
      <c r="AB78" s="32">
        <v>0</v>
      </c>
      <c r="AC78" s="32">
        <v>32191.67</v>
      </c>
      <c r="AD78" s="32">
        <v>70000</v>
      </c>
      <c r="AE78" s="32">
        <v>0</v>
      </c>
      <c r="AF78" s="35">
        <v>2020</v>
      </c>
      <c r="AG78" s="35">
        <v>2020</v>
      </c>
      <c r="AH78" s="36">
        <v>2020</v>
      </c>
    </row>
    <row r="79" spans="1:46" ht="61.5" x14ac:dyDescent="0.85">
      <c r="A79" s="21">
        <v>1</v>
      </c>
      <c r="B79" s="70">
        <f>SUBTOTAL(103,$A$22:A79)</f>
        <v>58</v>
      </c>
      <c r="C79" s="25" t="s">
        <v>1481</v>
      </c>
      <c r="D79" s="32">
        <f t="shared" si="4"/>
        <v>4273347.84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32">
        <v>0</v>
      </c>
      <c r="K79" s="34">
        <v>0</v>
      </c>
      <c r="L79" s="32">
        <v>0</v>
      </c>
      <c r="M79" s="32">
        <v>903.1</v>
      </c>
      <c r="N79" s="32">
        <v>4111672.75</v>
      </c>
      <c r="O79" s="32">
        <v>0</v>
      </c>
      <c r="P79" s="32">
        <v>0</v>
      </c>
      <c r="Q79" s="32">
        <v>0</v>
      </c>
      <c r="R79" s="32">
        <v>0</v>
      </c>
      <c r="S79" s="32">
        <v>0</v>
      </c>
      <c r="T79" s="32">
        <v>0</v>
      </c>
      <c r="U79" s="32">
        <v>0</v>
      </c>
      <c r="V79" s="32">
        <v>0</v>
      </c>
      <c r="W79" s="32">
        <v>0</v>
      </c>
      <c r="X79" s="32">
        <v>0</v>
      </c>
      <c r="Y79" s="32">
        <v>0</v>
      </c>
      <c r="Z79" s="32">
        <v>0</v>
      </c>
      <c r="AA79" s="32">
        <v>0</v>
      </c>
      <c r="AB79" s="32">
        <v>0</v>
      </c>
      <c r="AC79" s="32">
        <v>61675.09</v>
      </c>
      <c r="AD79" s="32">
        <v>100000</v>
      </c>
      <c r="AE79" s="32">
        <v>0</v>
      </c>
      <c r="AF79" s="35">
        <v>2020</v>
      </c>
      <c r="AG79" s="35">
        <v>2020</v>
      </c>
      <c r="AH79" s="36">
        <v>2020</v>
      </c>
    </row>
    <row r="80" spans="1:46" ht="61.5" x14ac:dyDescent="0.85">
      <c r="A80" s="21">
        <v>1</v>
      </c>
      <c r="B80" s="70">
        <f>SUBTOTAL(103,$A$22:A80)</f>
        <v>59</v>
      </c>
      <c r="C80" s="25" t="s">
        <v>1482</v>
      </c>
      <c r="D80" s="32">
        <f t="shared" si="4"/>
        <v>2324213.5</v>
      </c>
      <c r="E80" s="32">
        <v>0</v>
      </c>
      <c r="F80" s="32">
        <v>0</v>
      </c>
      <c r="G80" s="32">
        <v>0</v>
      </c>
      <c r="H80" s="32">
        <v>0</v>
      </c>
      <c r="I80" s="32">
        <v>0</v>
      </c>
      <c r="J80" s="32">
        <v>0</v>
      </c>
      <c r="K80" s="34">
        <v>0</v>
      </c>
      <c r="L80" s="32">
        <v>0</v>
      </c>
      <c r="M80" s="32">
        <v>0</v>
      </c>
      <c r="N80" s="32">
        <v>0</v>
      </c>
      <c r="O80" s="32">
        <v>0</v>
      </c>
      <c r="P80" s="32">
        <v>0</v>
      </c>
      <c r="Q80" s="32">
        <v>591.9</v>
      </c>
      <c r="R80" s="32">
        <v>2220900</v>
      </c>
      <c r="S80" s="32">
        <v>0</v>
      </c>
      <c r="T80" s="32">
        <v>0</v>
      </c>
      <c r="U80" s="32">
        <v>0</v>
      </c>
      <c r="V80" s="32">
        <v>0</v>
      </c>
      <c r="W80" s="32">
        <v>0</v>
      </c>
      <c r="X80" s="32">
        <v>0</v>
      </c>
      <c r="Y80" s="32">
        <v>0</v>
      </c>
      <c r="Z80" s="32">
        <v>0</v>
      </c>
      <c r="AA80" s="32">
        <v>0</v>
      </c>
      <c r="AB80" s="32">
        <v>0</v>
      </c>
      <c r="AC80" s="32">
        <v>33313.5</v>
      </c>
      <c r="AD80" s="32">
        <v>70000</v>
      </c>
      <c r="AE80" s="32">
        <v>0</v>
      </c>
      <c r="AF80" s="35">
        <v>2020</v>
      </c>
      <c r="AG80" s="35">
        <v>2020</v>
      </c>
      <c r="AH80" s="36">
        <v>2020</v>
      </c>
    </row>
    <row r="81" spans="1:34" ht="61.5" x14ac:dyDescent="0.85">
      <c r="A81" s="21">
        <v>1</v>
      </c>
      <c r="B81" s="70">
        <f>SUBTOTAL(103,$A$22:A81)</f>
        <v>60</v>
      </c>
      <c r="C81" s="25" t="s">
        <v>1174</v>
      </c>
      <c r="D81" s="32">
        <f t="shared" ref="D81:D92" si="14">E81+F81+G81+H81+I81+J81+L81+N81+P81+R81+T81+U81+V81+W81+X81+Y81+Z81+AA81+AB81+AC81+AD81+AE81</f>
        <v>4363443.18</v>
      </c>
      <c r="E81" s="32">
        <v>0</v>
      </c>
      <c r="F81" s="32">
        <v>0</v>
      </c>
      <c r="G81" s="32">
        <v>0</v>
      </c>
      <c r="H81" s="32">
        <v>0</v>
      </c>
      <c r="I81" s="32">
        <v>0</v>
      </c>
      <c r="J81" s="32">
        <v>0</v>
      </c>
      <c r="K81" s="34">
        <v>3</v>
      </c>
      <c r="L81" s="32">
        <v>4363443.18</v>
      </c>
      <c r="M81" s="32">
        <v>0</v>
      </c>
      <c r="N81" s="32">
        <v>0</v>
      </c>
      <c r="O81" s="32">
        <v>0</v>
      </c>
      <c r="P81" s="32">
        <v>0</v>
      </c>
      <c r="Q81" s="32">
        <v>0</v>
      </c>
      <c r="R81" s="32">
        <v>0</v>
      </c>
      <c r="S81" s="32">
        <v>0</v>
      </c>
      <c r="T81" s="32">
        <v>0</v>
      </c>
      <c r="U81" s="32">
        <v>0</v>
      </c>
      <c r="V81" s="32">
        <v>0</v>
      </c>
      <c r="W81" s="32">
        <v>0</v>
      </c>
      <c r="X81" s="32">
        <v>0</v>
      </c>
      <c r="Y81" s="32">
        <v>0</v>
      </c>
      <c r="Z81" s="32">
        <v>0</v>
      </c>
      <c r="AA81" s="32">
        <v>0</v>
      </c>
      <c r="AB81" s="32">
        <v>0</v>
      </c>
      <c r="AC81" s="32">
        <v>0</v>
      </c>
      <c r="AD81" s="32">
        <v>0</v>
      </c>
      <c r="AE81" s="32">
        <v>0</v>
      </c>
      <c r="AF81" s="35" t="s">
        <v>275</v>
      </c>
      <c r="AG81" s="35">
        <v>2020</v>
      </c>
      <c r="AH81" s="36" t="s">
        <v>275</v>
      </c>
    </row>
    <row r="82" spans="1:34" ht="61.5" x14ac:dyDescent="0.85">
      <c r="A82" s="21">
        <v>1</v>
      </c>
      <c r="B82" s="70">
        <f>SUBTOTAL(103,$A$22:A82)</f>
        <v>61</v>
      </c>
      <c r="C82" s="25" t="s">
        <v>1175</v>
      </c>
      <c r="D82" s="32">
        <f t="shared" si="14"/>
        <v>2960821.63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4">
        <v>2</v>
      </c>
      <c r="L82" s="32">
        <v>2960821.63</v>
      </c>
      <c r="M82" s="32">
        <v>0</v>
      </c>
      <c r="N82" s="32">
        <v>0</v>
      </c>
      <c r="O82" s="32">
        <v>0</v>
      </c>
      <c r="P82" s="32">
        <v>0</v>
      </c>
      <c r="Q82" s="32">
        <v>0</v>
      </c>
      <c r="R82" s="32">
        <v>0</v>
      </c>
      <c r="S82" s="32">
        <v>0</v>
      </c>
      <c r="T82" s="32">
        <v>0</v>
      </c>
      <c r="U82" s="32">
        <v>0</v>
      </c>
      <c r="V82" s="32">
        <v>0</v>
      </c>
      <c r="W82" s="32">
        <v>0</v>
      </c>
      <c r="X82" s="32">
        <v>0</v>
      </c>
      <c r="Y82" s="32">
        <v>0</v>
      </c>
      <c r="Z82" s="32">
        <v>0</v>
      </c>
      <c r="AA82" s="32">
        <v>0</v>
      </c>
      <c r="AB82" s="32">
        <v>0</v>
      </c>
      <c r="AC82" s="32">
        <v>0</v>
      </c>
      <c r="AD82" s="32">
        <v>0</v>
      </c>
      <c r="AE82" s="32">
        <v>0</v>
      </c>
      <c r="AF82" s="35" t="s">
        <v>275</v>
      </c>
      <c r="AG82" s="35">
        <v>2020</v>
      </c>
      <c r="AH82" s="36" t="s">
        <v>275</v>
      </c>
    </row>
    <row r="83" spans="1:34" ht="61.5" x14ac:dyDescent="0.85">
      <c r="A83" s="21">
        <v>1</v>
      </c>
      <c r="B83" s="70">
        <f>SUBTOTAL(103,$A$22:A83)</f>
        <v>62</v>
      </c>
      <c r="C83" s="25" t="s">
        <v>1176</v>
      </c>
      <c r="D83" s="32">
        <f t="shared" si="14"/>
        <v>2960821.63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34">
        <v>2</v>
      </c>
      <c r="L83" s="32">
        <v>2960821.63</v>
      </c>
      <c r="M83" s="32">
        <v>0</v>
      </c>
      <c r="N83" s="32">
        <v>0</v>
      </c>
      <c r="O83" s="32">
        <v>0</v>
      </c>
      <c r="P83" s="32">
        <v>0</v>
      </c>
      <c r="Q83" s="32">
        <v>0</v>
      </c>
      <c r="R83" s="32">
        <v>0</v>
      </c>
      <c r="S83" s="32">
        <v>0</v>
      </c>
      <c r="T83" s="32">
        <v>0</v>
      </c>
      <c r="U83" s="32">
        <v>0</v>
      </c>
      <c r="V83" s="32">
        <v>0</v>
      </c>
      <c r="W83" s="32">
        <v>0</v>
      </c>
      <c r="X83" s="32">
        <v>0</v>
      </c>
      <c r="Y83" s="32">
        <v>0</v>
      </c>
      <c r="Z83" s="32">
        <v>0</v>
      </c>
      <c r="AA83" s="32">
        <v>0</v>
      </c>
      <c r="AB83" s="32">
        <v>0</v>
      </c>
      <c r="AC83" s="32">
        <v>0</v>
      </c>
      <c r="AD83" s="32">
        <v>0</v>
      </c>
      <c r="AE83" s="32">
        <v>0</v>
      </c>
      <c r="AF83" s="35" t="s">
        <v>275</v>
      </c>
      <c r="AG83" s="35">
        <v>2020</v>
      </c>
      <c r="AH83" s="36" t="s">
        <v>275</v>
      </c>
    </row>
    <row r="84" spans="1:34" ht="61.5" x14ac:dyDescent="0.85">
      <c r="A84" s="21">
        <v>1</v>
      </c>
      <c r="B84" s="70">
        <f>SUBTOTAL(103,$A$22:A84)</f>
        <v>63</v>
      </c>
      <c r="C84" s="25" t="s">
        <v>1476</v>
      </c>
      <c r="D84" s="32">
        <f>E84+F84+G84+H84+I84+J84+L84+N84+P84+R84+T84+U84+V84+W84+X84+Y84+Z84+AA84+AB84+AC84+AD84+AE84</f>
        <v>1527100.63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4">
        <v>1</v>
      </c>
      <c r="L84" s="32">
        <v>1527100.63</v>
      </c>
      <c r="M84" s="32">
        <v>0</v>
      </c>
      <c r="N84" s="32">
        <v>0</v>
      </c>
      <c r="O84" s="32">
        <v>0</v>
      </c>
      <c r="P84" s="32">
        <v>0</v>
      </c>
      <c r="Q84" s="32">
        <v>0</v>
      </c>
      <c r="R84" s="32">
        <v>0</v>
      </c>
      <c r="S84" s="32">
        <v>0</v>
      </c>
      <c r="T84" s="32">
        <v>0</v>
      </c>
      <c r="U84" s="32">
        <v>0</v>
      </c>
      <c r="V84" s="32">
        <v>0</v>
      </c>
      <c r="W84" s="32">
        <v>0</v>
      </c>
      <c r="X84" s="32">
        <v>0</v>
      </c>
      <c r="Y84" s="32">
        <v>0</v>
      </c>
      <c r="Z84" s="32">
        <v>0</v>
      </c>
      <c r="AA84" s="32">
        <v>0</v>
      </c>
      <c r="AB84" s="32">
        <v>0</v>
      </c>
      <c r="AC84" s="32">
        <v>0</v>
      </c>
      <c r="AD84" s="32">
        <v>0</v>
      </c>
      <c r="AE84" s="32">
        <v>0</v>
      </c>
      <c r="AF84" s="35" t="s">
        <v>275</v>
      </c>
      <c r="AG84" s="35">
        <v>2020</v>
      </c>
      <c r="AH84" s="36" t="s">
        <v>275</v>
      </c>
    </row>
    <row r="85" spans="1:34" ht="61.5" x14ac:dyDescent="0.85">
      <c r="A85" s="21">
        <v>1</v>
      </c>
      <c r="B85" s="70">
        <f>SUBTOTAL(103,$A$22:A85)</f>
        <v>64</v>
      </c>
      <c r="C85" s="25" t="s">
        <v>1177</v>
      </c>
      <c r="D85" s="32">
        <f t="shared" si="14"/>
        <v>10921207.75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4">
        <v>0</v>
      </c>
      <c r="L85" s="32">
        <v>0</v>
      </c>
      <c r="M85" s="32">
        <v>0</v>
      </c>
      <c r="N85" s="32">
        <v>0</v>
      </c>
      <c r="O85" s="32">
        <v>0</v>
      </c>
      <c r="P85" s="32">
        <v>0</v>
      </c>
      <c r="Q85" s="32">
        <v>5788.43</v>
      </c>
      <c r="R85" s="32">
        <v>10759810.59</v>
      </c>
      <c r="S85" s="32">
        <v>0</v>
      </c>
      <c r="T85" s="32">
        <v>0</v>
      </c>
      <c r="U85" s="32">
        <v>0</v>
      </c>
      <c r="V85" s="32">
        <v>0</v>
      </c>
      <c r="W85" s="32">
        <v>0</v>
      </c>
      <c r="X85" s="32">
        <v>0</v>
      </c>
      <c r="Y85" s="32">
        <v>0</v>
      </c>
      <c r="Z85" s="32">
        <v>0</v>
      </c>
      <c r="AA85" s="32">
        <v>0</v>
      </c>
      <c r="AB85" s="32">
        <v>0</v>
      </c>
      <c r="AC85" s="32">
        <f t="shared" ref="AC85:AC86" si="15">ROUND(R85*1.5%,2)</f>
        <v>161397.16</v>
      </c>
      <c r="AD85" s="32">
        <v>0</v>
      </c>
      <c r="AE85" s="32">
        <v>0</v>
      </c>
      <c r="AF85" s="35" t="s">
        <v>275</v>
      </c>
      <c r="AG85" s="35">
        <v>2020</v>
      </c>
      <c r="AH85" s="36">
        <v>2020</v>
      </c>
    </row>
    <row r="86" spans="1:34" ht="61.5" x14ac:dyDescent="0.85">
      <c r="A86" s="21">
        <v>1</v>
      </c>
      <c r="B86" s="70">
        <f>SUBTOTAL(103,$A$22:A86)</f>
        <v>65</v>
      </c>
      <c r="C86" s="25" t="s">
        <v>1178</v>
      </c>
      <c r="D86" s="32">
        <f t="shared" si="14"/>
        <v>5593571.1100000003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4">
        <v>0</v>
      </c>
      <c r="L86" s="32">
        <v>0</v>
      </c>
      <c r="M86" s="32">
        <v>0</v>
      </c>
      <c r="N86" s="32">
        <v>0</v>
      </c>
      <c r="O86" s="32">
        <v>0</v>
      </c>
      <c r="P86" s="32">
        <v>0</v>
      </c>
      <c r="Q86" s="32">
        <v>3852.16</v>
      </c>
      <c r="R86" s="32">
        <v>5510907.5</v>
      </c>
      <c r="S86" s="32">
        <v>0</v>
      </c>
      <c r="T86" s="32">
        <v>0</v>
      </c>
      <c r="U86" s="32">
        <v>0</v>
      </c>
      <c r="V86" s="32">
        <v>0</v>
      </c>
      <c r="W86" s="32">
        <v>0</v>
      </c>
      <c r="X86" s="32">
        <v>0</v>
      </c>
      <c r="Y86" s="32">
        <v>0</v>
      </c>
      <c r="Z86" s="32">
        <v>0</v>
      </c>
      <c r="AA86" s="32">
        <v>0</v>
      </c>
      <c r="AB86" s="32">
        <v>0</v>
      </c>
      <c r="AC86" s="32">
        <f t="shared" si="15"/>
        <v>82663.61</v>
      </c>
      <c r="AD86" s="32">
        <v>0</v>
      </c>
      <c r="AE86" s="32">
        <v>0</v>
      </c>
      <c r="AF86" s="35" t="s">
        <v>275</v>
      </c>
      <c r="AG86" s="35">
        <v>2020</v>
      </c>
      <c r="AH86" s="36">
        <v>2020</v>
      </c>
    </row>
    <row r="87" spans="1:34" ht="61.5" x14ac:dyDescent="0.85">
      <c r="A87" s="21">
        <v>1</v>
      </c>
      <c r="B87" s="70">
        <f>SUBTOTAL(103,$A$22:A87)</f>
        <v>66</v>
      </c>
      <c r="C87" s="25" t="s">
        <v>1179</v>
      </c>
      <c r="D87" s="32">
        <f t="shared" si="14"/>
        <v>2451732.5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4">
        <v>0</v>
      </c>
      <c r="L87" s="32">
        <v>0</v>
      </c>
      <c r="M87" s="32">
        <v>1118</v>
      </c>
      <c r="N87" s="32">
        <v>2415500</v>
      </c>
      <c r="O87" s="32">
        <v>0</v>
      </c>
      <c r="P87" s="32">
        <v>0</v>
      </c>
      <c r="Q87" s="32">
        <v>0</v>
      </c>
      <c r="R87" s="32">
        <v>0</v>
      </c>
      <c r="S87" s="32">
        <v>0</v>
      </c>
      <c r="T87" s="32">
        <v>0</v>
      </c>
      <c r="U87" s="32">
        <v>0</v>
      </c>
      <c r="V87" s="32">
        <v>0</v>
      </c>
      <c r="W87" s="32">
        <v>0</v>
      </c>
      <c r="X87" s="32">
        <v>0</v>
      </c>
      <c r="Y87" s="32">
        <v>0</v>
      </c>
      <c r="Z87" s="32">
        <v>0</v>
      </c>
      <c r="AA87" s="32">
        <v>0</v>
      </c>
      <c r="AB87" s="32">
        <v>0</v>
      </c>
      <c r="AC87" s="32">
        <f>ROUND(N87*1.5%,2)</f>
        <v>36232.5</v>
      </c>
      <c r="AD87" s="32">
        <v>0</v>
      </c>
      <c r="AE87" s="32">
        <v>0</v>
      </c>
      <c r="AF87" s="35" t="s">
        <v>275</v>
      </c>
      <c r="AG87" s="35">
        <v>2020</v>
      </c>
      <c r="AH87" s="36">
        <v>2020</v>
      </c>
    </row>
    <row r="88" spans="1:34" ht="61.5" x14ac:dyDescent="0.85">
      <c r="A88" s="21">
        <v>1</v>
      </c>
      <c r="B88" s="70">
        <f>SUBTOTAL(103,$A$22:A88)</f>
        <v>67</v>
      </c>
      <c r="C88" s="25" t="s">
        <v>1180</v>
      </c>
      <c r="D88" s="32">
        <f t="shared" si="14"/>
        <v>859287.1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4">
        <v>0</v>
      </c>
      <c r="L88" s="32">
        <v>0</v>
      </c>
      <c r="M88" s="32">
        <v>375.1</v>
      </c>
      <c r="N88" s="32">
        <v>846588.28</v>
      </c>
      <c r="O88" s="32">
        <v>0</v>
      </c>
      <c r="P88" s="32">
        <v>0</v>
      </c>
      <c r="Q88" s="32">
        <v>0</v>
      </c>
      <c r="R88" s="32">
        <v>0</v>
      </c>
      <c r="S88" s="32">
        <v>0</v>
      </c>
      <c r="T88" s="32">
        <v>0</v>
      </c>
      <c r="U88" s="32">
        <v>0</v>
      </c>
      <c r="V88" s="32">
        <v>0</v>
      </c>
      <c r="W88" s="32">
        <v>0</v>
      </c>
      <c r="X88" s="32">
        <v>0</v>
      </c>
      <c r="Y88" s="32">
        <v>0</v>
      </c>
      <c r="Z88" s="32">
        <v>0</v>
      </c>
      <c r="AA88" s="32">
        <v>0</v>
      </c>
      <c r="AB88" s="32">
        <v>0</v>
      </c>
      <c r="AC88" s="32">
        <f t="shared" ref="AC88:AC89" si="16">ROUND(N88*1.5%,2)</f>
        <v>12698.82</v>
      </c>
      <c r="AD88" s="32">
        <v>0</v>
      </c>
      <c r="AE88" s="32">
        <v>0</v>
      </c>
      <c r="AF88" s="35" t="s">
        <v>275</v>
      </c>
      <c r="AG88" s="35">
        <v>2020</v>
      </c>
      <c r="AH88" s="36">
        <v>2020</v>
      </c>
    </row>
    <row r="89" spans="1:34" ht="61.5" x14ac:dyDescent="0.85">
      <c r="A89" s="21">
        <v>1</v>
      </c>
      <c r="B89" s="70">
        <f>SUBTOTAL(103,$A$22:A89)</f>
        <v>68</v>
      </c>
      <c r="C89" s="25" t="s">
        <v>1181</v>
      </c>
      <c r="D89" s="32">
        <f t="shared" si="14"/>
        <v>3483381.3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4">
        <v>0</v>
      </c>
      <c r="L89" s="32">
        <v>0</v>
      </c>
      <c r="M89" s="32">
        <v>912.27</v>
      </c>
      <c r="N89" s="32">
        <v>3431902.76</v>
      </c>
      <c r="O89" s="32">
        <v>0</v>
      </c>
      <c r="P89" s="32">
        <v>0</v>
      </c>
      <c r="Q89" s="32">
        <v>0</v>
      </c>
      <c r="R89" s="32">
        <v>0</v>
      </c>
      <c r="S89" s="32">
        <v>0</v>
      </c>
      <c r="T89" s="32">
        <v>0</v>
      </c>
      <c r="U89" s="32">
        <v>0</v>
      </c>
      <c r="V89" s="32">
        <v>0</v>
      </c>
      <c r="W89" s="32">
        <v>0</v>
      </c>
      <c r="X89" s="32">
        <v>0</v>
      </c>
      <c r="Y89" s="32">
        <v>0</v>
      </c>
      <c r="Z89" s="32">
        <v>0</v>
      </c>
      <c r="AA89" s="32">
        <v>0</v>
      </c>
      <c r="AB89" s="32">
        <v>0</v>
      </c>
      <c r="AC89" s="32">
        <f t="shared" si="16"/>
        <v>51478.54</v>
      </c>
      <c r="AD89" s="32">
        <v>0</v>
      </c>
      <c r="AE89" s="32">
        <v>0</v>
      </c>
      <c r="AF89" s="35" t="s">
        <v>275</v>
      </c>
      <c r="AG89" s="35">
        <v>2020</v>
      </c>
      <c r="AH89" s="36">
        <v>2020</v>
      </c>
    </row>
    <row r="90" spans="1:34" ht="61.5" x14ac:dyDescent="0.85">
      <c r="A90" s="21">
        <v>1</v>
      </c>
      <c r="B90" s="70">
        <f>SUBTOTAL(103,$A$22:A90)</f>
        <v>69</v>
      </c>
      <c r="C90" s="25" t="s">
        <v>1182</v>
      </c>
      <c r="D90" s="32">
        <f t="shared" si="14"/>
        <v>4301674.5999999996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4">
        <v>0</v>
      </c>
      <c r="L90" s="32">
        <v>0</v>
      </c>
      <c r="M90" s="32">
        <v>0</v>
      </c>
      <c r="N90" s="32">
        <v>0</v>
      </c>
      <c r="O90" s="32">
        <v>0</v>
      </c>
      <c r="P90" s="32">
        <v>0</v>
      </c>
      <c r="Q90" s="32">
        <v>1131.4000000000001</v>
      </c>
      <c r="R90" s="32">
        <v>4238103.05</v>
      </c>
      <c r="S90" s="32">
        <v>0</v>
      </c>
      <c r="T90" s="32">
        <v>0</v>
      </c>
      <c r="U90" s="32">
        <v>0</v>
      </c>
      <c r="V90" s="32">
        <v>0</v>
      </c>
      <c r="W90" s="32">
        <v>0</v>
      </c>
      <c r="X90" s="32">
        <v>0</v>
      </c>
      <c r="Y90" s="32">
        <v>0</v>
      </c>
      <c r="Z90" s="32">
        <v>0</v>
      </c>
      <c r="AA90" s="32">
        <v>0</v>
      </c>
      <c r="AB90" s="32">
        <v>0</v>
      </c>
      <c r="AC90" s="32">
        <f>ROUND(R90*1.5%,2)</f>
        <v>63571.55</v>
      </c>
      <c r="AD90" s="32">
        <v>0</v>
      </c>
      <c r="AE90" s="32">
        <v>0</v>
      </c>
      <c r="AF90" s="35" t="s">
        <v>275</v>
      </c>
      <c r="AG90" s="35">
        <v>2020</v>
      </c>
      <c r="AH90" s="36">
        <v>2020</v>
      </c>
    </row>
    <row r="91" spans="1:34" ht="61.5" x14ac:dyDescent="0.85">
      <c r="A91" s="21">
        <v>1</v>
      </c>
      <c r="B91" s="70">
        <f>SUBTOTAL(103,$A$22:A91)</f>
        <v>70</v>
      </c>
      <c r="C91" s="25" t="s">
        <v>1183</v>
      </c>
      <c r="D91" s="32">
        <f t="shared" si="14"/>
        <v>5210898.3499999996</v>
      </c>
      <c r="E91" s="32">
        <v>0</v>
      </c>
      <c r="F91" s="32">
        <v>0</v>
      </c>
      <c r="G91" s="32">
        <v>0</v>
      </c>
      <c r="H91" s="32">
        <v>0</v>
      </c>
      <c r="I91" s="32">
        <v>0</v>
      </c>
      <c r="J91" s="32">
        <v>0</v>
      </c>
      <c r="K91" s="34">
        <v>0</v>
      </c>
      <c r="L91" s="32">
        <v>0</v>
      </c>
      <c r="M91" s="32">
        <v>0</v>
      </c>
      <c r="N91" s="32">
        <v>0</v>
      </c>
      <c r="O91" s="32">
        <v>0</v>
      </c>
      <c r="P91" s="32">
        <v>0</v>
      </c>
      <c r="Q91" s="32">
        <v>0</v>
      </c>
      <c r="R91" s="32">
        <v>0</v>
      </c>
      <c r="S91" s="32">
        <v>0</v>
      </c>
      <c r="T91" s="32">
        <v>0</v>
      </c>
      <c r="U91" s="32">
        <v>5133890</v>
      </c>
      <c r="V91" s="32">
        <v>0</v>
      </c>
      <c r="W91" s="32">
        <v>0</v>
      </c>
      <c r="X91" s="32">
        <v>0</v>
      </c>
      <c r="Y91" s="32">
        <v>0</v>
      </c>
      <c r="Z91" s="32">
        <v>0</v>
      </c>
      <c r="AA91" s="32">
        <v>0</v>
      </c>
      <c r="AB91" s="32">
        <v>0</v>
      </c>
      <c r="AC91" s="32">
        <f>ROUND(U91*1.5%,2)</f>
        <v>77008.350000000006</v>
      </c>
      <c r="AD91" s="32">
        <v>0</v>
      </c>
      <c r="AE91" s="32">
        <v>0</v>
      </c>
      <c r="AF91" s="35" t="s">
        <v>275</v>
      </c>
      <c r="AG91" s="35">
        <v>2020</v>
      </c>
      <c r="AH91" s="36">
        <v>2020</v>
      </c>
    </row>
    <row r="92" spans="1:34" ht="61.5" x14ac:dyDescent="0.85">
      <c r="A92" s="21">
        <v>1</v>
      </c>
      <c r="B92" s="70">
        <f>SUBTOTAL(103,$A$22:A92)</f>
        <v>71</v>
      </c>
      <c r="C92" s="25" t="s">
        <v>1184</v>
      </c>
      <c r="D92" s="32">
        <f t="shared" si="14"/>
        <v>3384495.8600000003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4">
        <v>0</v>
      </c>
      <c r="L92" s="32">
        <v>0</v>
      </c>
      <c r="M92" s="32">
        <v>970</v>
      </c>
      <c r="N92" s="32">
        <v>3334478.68</v>
      </c>
      <c r="O92" s="32">
        <v>0</v>
      </c>
      <c r="P92" s="32">
        <v>0</v>
      </c>
      <c r="Q92" s="32">
        <v>0</v>
      </c>
      <c r="R92" s="32">
        <v>0</v>
      </c>
      <c r="S92" s="32">
        <v>0</v>
      </c>
      <c r="T92" s="32">
        <v>0</v>
      </c>
      <c r="U92" s="32">
        <v>0</v>
      </c>
      <c r="V92" s="32">
        <v>0</v>
      </c>
      <c r="W92" s="32">
        <v>0</v>
      </c>
      <c r="X92" s="32">
        <v>0</v>
      </c>
      <c r="Y92" s="32">
        <v>0</v>
      </c>
      <c r="Z92" s="32">
        <v>0</v>
      </c>
      <c r="AA92" s="32">
        <v>0</v>
      </c>
      <c r="AB92" s="32">
        <v>0</v>
      </c>
      <c r="AC92" s="32">
        <f t="shared" ref="AC92:AC94" si="17">ROUND(N92*1.5%,2)</f>
        <v>50017.18</v>
      </c>
      <c r="AD92" s="32">
        <v>0</v>
      </c>
      <c r="AE92" s="32">
        <v>0</v>
      </c>
      <c r="AF92" s="35" t="s">
        <v>275</v>
      </c>
      <c r="AG92" s="35">
        <v>2020</v>
      </c>
      <c r="AH92" s="36">
        <v>2020</v>
      </c>
    </row>
    <row r="93" spans="1:34" ht="61.5" x14ac:dyDescent="0.85">
      <c r="A93" s="21">
        <v>1</v>
      </c>
      <c r="B93" s="70">
        <f>SUBTOTAL(103,$A$22:A93)</f>
        <v>72</v>
      </c>
      <c r="C93" s="25" t="s">
        <v>1185</v>
      </c>
      <c r="D93" s="32">
        <f t="shared" ref="D93:D125" si="18">E93+F93+G93+H93+I93+J93+L93+N93+P93+R93+T93+U93+V93+W93+X93+Y93+Z93+AA93+AB93+AC93+AD93+AE93</f>
        <v>4374650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4">
        <v>0</v>
      </c>
      <c r="L93" s="32">
        <v>0</v>
      </c>
      <c r="M93" s="32">
        <v>1013.6</v>
      </c>
      <c r="N93" s="32">
        <v>4310000</v>
      </c>
      <c r="O93" s="32">
        <v>0</v>
      </c>
      <c r="P93" s="32">
        <v>0</v>
      </c>
      <c r="Q93" s="32">
        <v>0</v>
      </c>
      <c r="R93" s="32">
        <v>0</v>
      </c>
      <c r="S93" s="32">
        <v>0</v>
      </c>
      <c r="T93" s="32">
        <v>0</v>
      </c>
      <c r="U93" s="32">
        <v>0</v>
      </c>
      <c r="V93" s="32">
        <v>0</v>
      </c>
      <c r="W93" s="32">
        <v>0</v>
      </c>
      <c r="X93" s="32">
        <v>0</v>
      </c>
      <c r="Y93" s="32">
        <v>0</v>
      </c>
      <c r="Z93" s="32">
        <v>0</v>
      </c>
      <c r="AA93" s="32">
        <v>0</v>
      </c>
      <c r="AB93" s="32">
        <v>0</v>
      </c>
      <c r="AC93" s="32">
        <f t="shared" si="17"/>
        <v>64650</v>
      </c>
      <c r="AD93" s="32">
        <v>0</v>
      </c>
      <c r="AE93" s="32">
        <v>0</v>
      </c>
      <c r="AF93" s="35" t="s">
        <v>275</v>
      </c>
      <c r="AG93" s="35">
        <v>2020</v>
      </c>
      <c r="AH93" s="36">
        <v>2020</v>
      </c>
    </row>
    <row r="94" spans="1:34" ht="61.5" x14ac:dyDescent="0.85">
      <c r="A94" s="21">
        <v>1</v>
      </c>
      <c r="B94" s="70">
        <f>SUBTOTAL(103,$A$22:A94)</f>
        <v>73</v>
      </c>
      <c r="C94" s="25" t="s">
        <v>1186</v>
      </c>
      <c r="D94" s="32">
        <f t="shared" si="18"/>
        <v>3308900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4">
        <v>0</v>
      </c>
      <c r="L94" s="32">
        <v>0</v>
      </c>
      <c r="M94" s="32">
        <v>746.77</v>
      </c>
      <c r="N94" s="32">
        <v>3260000</v>
      </c>
      <c r="O94" s="32">
        <v>0</v>
      </c>
      <c r="P94" s="32">
        <v>0</v>
      </c>
      <c r="Q94" s="32">
        <v>0</v>
      </c>
      <c r="R94" s="32">
        <v>0</v>
      </c>
      <c r="S94" s="32">
        <v>0</v>
      </c>
      <c r="T94" s="32">
        <v>0</v>
      </c>
      <c r="U94" s="32">
        <v>0</v>
      </c>
      <c r="V94" s="32">
        <v>0</v>
      </c>
      <c r="W94" s="32">
        <v>0</v>
      </c>
      <c r="X94" s="32">
        <v>0</v>
      </c>
      <c r="Y94" s="32">
        <v>0</v>
      </c>
      <c r="Z94" s="32">
        <v>0</v>
      </c>
      <c r="AA94" s="32">
        <v>0</v>
      </c>
      <c r="AB94" s="32">
        <v>0</v>
      </c>
      <c r="AC94" s="32">
        <f t="shared" si="17"/>
        <v>48900</v>
      </c>
      <c r="AD94" s="32">
        <v>0</v>
      </c>
      <c r="AE94" s="32">
        <v>0</v>
      </c>
      <c r="AF94" s="35" t="s">
        <v>275</v>
      </c>
      <c r="AG94" s="35">
        <v>2020</v>
      </c>
      <c r="AH94" s="36">
        <v>2020</v>
      </c>
    </row>
    <row r="95" spans="1:34" ht="61.5" x14ac:dyDescent="0.85">
      <c r="A95" s="21">
        <v>1</v>
      </c>
      <c r="B95" s="70">
        <f>SUBTOTAL(103,$A$22:A95)</f>
        <v>74</v>
      </c>
      <c r="C95" s="25" t="s">
        <v>1187</v>
      </c>
      <c r="D95" s="32">
        <f t="shared" si="18"/>
        <v>2785505.04</v>
      </c>
      <c r="E95" s="32">
        <v>0</v>
      </c>
      <c r="F95" s="32">
        <v>0</v>
      </c>
      <c r="G95" s="32">
        <v>0</v>
      </c>
      <c r="H95" s="32">
        <v>0</v>
      </c>
      <c r="I95" s="32">
        <v>0</v>
      </c>
      <c r="J95" s="32">
        <v>0</v>
      </c>
      <c r="K95" s="34">
        <v>0</v>
      </c>
      <c r="L95" s="32">
        <v>0</v>
      </c>
      <c r="M95" s="32">
        <v>0</v>
      </c>
      <c r="N95" s="32">
        <v>0</v>
      </c>
      <c r="O95" s="32">
        <v>0</v>
      </c>
      <c r="P95" s="32">
        <v>0</v>
      </c>
      <c r="Q95" s="32">
        <v>1524.32</v>
      </c>
      <c r="R95" s="32">
        <v>2744339.94</v>
      </c>
      <c r="S95" s="32">
        <v>0</v>
      </c>
      <c r="T95" s="32">
        <v>0</v>
      </c>
      <c r="U95" s="32">
        <v>0</v>
      </c>
      <c r="V95" s="32">
        <v>0</v>
      </c>
      <c r="W95" s="32">
        <v>0</v>
      </c>
      <c r="X95" s="32">
        <v>0</v>
      </c>
      <c r="Y95" s="32">
        <v>0</v>
      </c>
      <c r="Z95" s="32">
        <v>0</v>
      </c>
      <c r="AA95" s="32">
        <v>0</v>
      </c>
      <c r="AB95" s="32">
        <v>0</v>
      </c>
      <c r="AC95" s="32">
        <f t="shared" ref="AC95:AC96" si="19">ROUND(R95*1.5%,2)</f>
        <v>41165.1</v>
      </c>
      <c r="AD95" s="32">
        <v>0</v>
      </c>
      <c r="AE95" s="32">
        <v>0</v>
      </c>
      <c r="AF95" s="35" t="s">
        <v>275</v>
      </c>
      <c r="AG95" s="35">
        <v>2020</v>
      </c>
      <c r="AH95" s="36">
        <v>2020</v>
      </c>
    </row>
    <row r="96" spans="1:34" ht="61.5" x14ac:dyDescent="0.85">
      <c r="A96" s="21">
        <v>1</v>
      </c>
      <c r="B96" s="70">
        <f>SUBTOTAL(103,$A$22:A96)</f>
        <v>75</v>
      </c>
      <c r="C96" s="25" t="s">
        <v>1188</v>
      </c>
      <c r="D96" s="32">
        <f t="shared" si="18"/>
        <v>5679259.6500000004</v>
      </c>
      <c r="E96" s="32">
        <v>0</v>
      </c>
      <c r="F96" s="32">
        <v>0</v>
      </c>
      <c r="G96" s="32">
        <v>0</v>
      </c>
      <c r="H96" s="32">
        <v>0</v>
      </c>
      <c r="I96" s="32">
        <v>0</v>
      </c>
      <c r="J96" s="32">
        <v>0</v>
      </c>
      <c r="K96" s="34">
        <v>0</v>
      </c>
      <c r="L96" s="32">
        <v>0</v>
      </c>
      <c r="M96" s="32">
        <v>0</v>
      </c>
      <c r="N96" s="32">
        <v>0</v>
      </c>
      <c r="O96" s="32">
        <v>0</v>
      </c>
      <c r="P96" s="32">
        <v>0</v>
      </c>
      <c r="Q96" s="32">
        <v>1343.2</v>
      </c>
      <c r="R96" s="32">
        <v>5595329.7000000002</v>
      </c>
      <c r="S96" s="32">
        <v>0</v>
      </c>
      <c r="T96" s="32">
        <v>0</v>
      </c>
      <c r="U96" s="32">
        <v>0</v>
      </c>
      <c r="V96" s="32">
        <v>0</v>
      </c>
      <c r="W96" s="32">
        <v>0</v>
      </c>
      <c r="X96" s="32">
        <v>0</v>
      </c>
      <c r="Y96" s="32">
        <v>0</v>
      </c>
      <c r="Z96" s="32">
        <v>0</v>
      </c>
      <c r="AA96" s="32">
        <v>0</v>
      </c>
      <c r="AB96" s="32">
        <v>0</v>
      </c>
      <c r="AC96" s="32">
        <f t="shared" si="19"/>
        <v>83929.95</v>
      </c>
      <c r="AD96" s="32">
        <v>0</v>
      </c>
      <c r="AE96" s="32">
        <v>0</v>
      </c>
      <c r="AF96" s="35" t="s">
        <v>275</v>
      </c>
      <c r="AG96" s="35">
        <v>2020</v>
      </c>
      <c r="AH96" s="36">
        <v>2020</v>
      </c>
    </row>
    <row r="97" spans="1:34" ht="61.5" x14ac:dyDescent="0.85">
      <c r="A97" s="21">
        <v>1</v>
      </c>
      <c r="B97" s="70">
        <f>SUBTOTAL(103,$A$22:A97)</f>
        <v>76</v>
      </c>
      <c r="C97" s="25" t="s">
        <v>1189</v>
      </c>
      <c r="D97" s="32">
        <f t="shared" si="18"/>
        <v>2467863.3800000004</v>
      </c>
      <c r="E97" s="32">
        <v>0</v>
      </c>
      <c r="F97" s="32">
        <v>0</v>
      </c>
      <c r="G97" s="32">
        <v>0</v>
      </c>
      <c r="H97" s="32">
        <v>0</v>
      </c>
      <c r="I97" s="32">
        <v>0</v>
      </c>
      <c r="J97" s="32">
        <v>0</v>
      </c>
      <c r="K97" s="34">
        <v>0</v>
      </c>
      <c r="L97" s="32">
        <v>0</v>
      </c>
      <c r="M97" s="32">
        <v>934.1</v>
      </c>
      <c r="N97" s="32">
        <v>2431392.4900000002</v>
      </c>
      <c r="O97" s="32">
        <v>0</v>
      </c>
      <c r="P97" s="32">
        <v>0</v>
      </c>
      <c r="Q97" s="32">
        <v>0</v>
      </c>
      <c r="R97" s="32">
        <v>0</v>
      </c>
      <c r="S97" s="32">
        <v>0</v>
      </c>
      <c r="T97" s="32">
        <v>0</v>
      </c>
      <c r="U97" s="32">
        <v>0</v>
      </c>
      <c r="V97" s="32">
        <v>0</v>
      </c>
      <c r="W97" s="32">
        <v>0</v>
      </c>
      <c r="X97" s="32">
        <v>0</v>
      </c>
      <c r="Y97" s="32">
        <v>0</v>
      </c>
      <c r="Z97" s="32">
        <v>0</v>
      </c>
      <c r="AA97" s="32">
        <v>0</v>
      </c>
      <c r="AB97" s="32">
        <v>0</v>
      </c>
      <c r="AC97" s="32">
        <f t="shared" ref="AC97" si="20">ROUND(N97*1.5%,2)</f>
        <v>36470.89</v>
      </c>
      <c r="AD97" s="32">
        <v>0</v>
      </c>
      <c r="AE97" s="32">
        <v>0</v>
      </c>
      <c r="AF97" s="35" t="s">
        <v>275</v>
      </c>
      <c r="AG97" s="35">
        <v>2020</v>
      </c>
      <c r="AH97" s="36">
        <v>2020</v>
      </c>
    </row>
    <row r="98" spans="1:34" ht="61.5" x14ac:dyDescent="0.85">
      <c r="A98" s="21">
        <v>1</v>
      </c>
      <c r="B98" s="70">
        <f>SUBTOTAL(103,$A$22:A98)</f>
        <v>77</v>
      </c>
      <c r="C98" s="25" t="s">
        <v>1190</v>
      </c>
      <c r="D98" s="32">
        <f t="shared" si="18"/>
        <v>2472182.16</v>
      </c>
      <c r="E98" s="32">
        <v>0</v>
      </c>
      <c r="F98" s="32">
        <v>0</v>
      </c>
      <c r="G98" s="32">
        <v>0</v>
      </c>
      <c r="H98" s="32">
        <v>0</v>
      </c>
      <c r="I98" s="32">
        <v>0</v>
      </c>
      <c r="J98" s="32">
        <v>0</v>
      </c>
      <c r="K98" s="34">
        <v>0</v>
      </c>
      <c r="L98" s="32">
        <v>0</v>
      </c>
      <c r="M98" s="32">
        <v>0</v>
      </c>
      <c r="N98" s="32">
        <v>0</v>
      </c>
      <c r="O98" s="32">
        <v>0</v>
      </c>
      <c r="P98" s="32">
        <v>0</v>
      </c>
      <c r="Q98" s="32">
        <v>494.5</v>
      </c>
      <c r="R98" s="32">
        <v>2435647.4500000002</v>
      </c>
      <c r="S98" s="32">
        <v>0</v>
      </c>
      <c r="T98" s="32">
        <v>0</v>
      </c>
      <c r="U98" s="32">
        <v>0</v>
      </c>
      <c r="V98" s="32">
        <v>0</v>
      </c>
      <c r="W98" s="32">
        <v>0</v>
      </c>
      <c r="X98" s="32">
        <v>0</v>
      </c>
      <c r="Y98" s="32">
        <v>0</v>
      </c>
      <c r="Z98" s="32">
        <v>0</v>
      </c>
      <c r="AA98" s="32">
        <v>0</v>
      </c>
      <c r="AB98" s="32">
        <v>0</v>
      </c>
      <c r="AC98" s="32">
        <f>ROUND(R98*1.5%,2)</f>
        <v>36534.71</v>
      </c>
      <c r="AD98" s="32">
        <v>0</v>
      </c>
      <c r="AE98" s="32">
        <v>0</v>
      </c>
      <c r="AF98" s="35" t="s">
        <v>275</v>
      </c>
      <c r="AG98" s="35">
        <v>2020</v>
      </c>
      <c r="AH98" s="36">
        <v>2020</v>
      </c>
    </row>
    <row r="99" spans="1:34" ht="61.5" x14ac:dyDescent="0.85">
      <c r="A99" s="21">
        <v>1</v>
      </c>
      <c r="B99" s="70">
        <f>SUBTOTAL(103,$A$22:A99)</f>
        <v>78</v>
      </c>
      <c r="C99" s="25" t="s">
        <v>1191</v>
      </c>
      <c r="D99" s="32">
        <f t="shared" si="18"/>
        <v>3731140</v>
      </c>
      <c r="E99" s="32">
        <v>0</v>
      </c>
      <c r="F99" s="32">
        <v>0</v>
      </c>
      <c r="G99" s="32">
        <v>0</v>
      </c>
      <c r="H99" s="32">
        <v>0</v>
      </c>
      <c r="I99" s="32">
        <v>0</v>
      </c>
      <c r="J99" s="32">
        <v>0</v>
      </c>
      <c r="K99" s="34">
        <v>0</v>
      </c>
      <c r="L99" s="32">
        <v>0</v>
      </c>
      <c r="M99" s="32">
        <v>1554.3</v>
      </c>
      <c r="N99" s="32">
        <v>3676000</v>
      </c>
      <c r="O99" s="32">
        <v>0</v>
      </c>
      <c r="P99" s="32">
        <v>0</v>
      </c>
      <c r="Q99" s="32">
        <v>0</v>
      </c>
      <c r="R99" s="32">
        <v>0</v>
      </c>
      <c r="S99" s="32">
        <v>0</v>
      </c>
      <c r="T99" s="32">
        <v>0</v>
      </c>
      <c r="U99" s="32">
        <v>0</v>
      </c>
      <c r="V99" s="32">
        <v>0</v>
      </c>
      <c r="W99" s="32">
        <v>0</v>
      </c>
      <c r="X99" s="32">
        <v>0</v>
      </c>
      <c r="Y99" s="32">
        <v>0</v>
      </c>
      <c r="Z99" s="32">
        <v>0</v>
      </c>
      <c r="AA99" s="32">
        <v>0</v>
      </c>
      <c r="AB99" s="32">
        <v>0</v>
      </c>
      <c r="AC99" s="32">
        <f t="shared" ref="AC99:AC102" si="21">ROUND(N99*1.5%,2)</f>
        <v>55140</v>
      </c>
      <c r="AD99" s="32">
        <v>0</v>
      </c>
      <c r="AE99" s="32">
        <v>0</v>
      </c>
      <c r="AF99" s="35" t="s">
        <v>275</v>
      </c>
      <c r="AG99" s="35">
        <v>2020</v>
      </c>
      <c r="AH99" s="36">
        <v>2020</v>
      </c>
    </row>
    <row r="100" spans="1:34" ht="61.5" x14ac:dyDescent="0.85">
      <c r="A100" s="21">
        <v>1</v>
      </c>
      <c r="B100" s="70">
        <f>SUBTOTAL(103,$A$22:A100)</f>
        <v>79</v>
      </c>
      <c r="C100" s="25" t="s">
        <v>1192</v>
      </c>
      <c r="D100" s="32">
        <f t="shared" si="18"/>
        <v>2982674.0300000003</v>
      </c>
      <c r="E100" s="32">
        <v>0</v>
      </c>
      <c r="F100" s="32">
        <v>0</v>
      </c>
      <c r="G100" s="32">
        <v>0</v>
      </c>
      <c r="H100" s="32">
        <v>0</v>
      </c>
      <c r="I100" s="32">
        <v>0</v>
      </c>
      <c r="J100" s="32">
        <v>0</v>
      </c>
      <c r="K100" s="34">
        <v>0</v>
      </c>
      <c r="L100" s="32">
        <v>0</v>
      </c>
      <c r="M100" s="32">
        <v>450</v>
      </c>
      <c r="N100" s="32">
        <v>2938595.1</v>
      </c>
      <c r="O100" s="32">
        <v>0</v>
      </c>
      <c r="P100" s="32">
        <v>0</v>
      </c>
      <c r="Q100" s="32">
        <v>0</v>
      </c>
      <c r="R100" s="32">
        <v>0</v>
      </c>
      <c r="S100" s="32">
        <v>0</v>
      </c>
      <c r="T100" s="32">
        <v>0</v>
      </c>
      <c r="U100" s="32">
        <v>0</v>
      </c>
      <c r="V100" s="32">
        <v>0</v>
      </c>
      <c r="W100" s="32">
        <v>0</v>
      </c>
      <c r="X100" s="32">
        <v>0</v>
      </c>
      <c r="Y100" s="32">
        <v>0</v>
      </c>
      <c r="Z100" s="32">
        <v>0</v>
      </c>
      <c r="AA100" s="32">
        <v>0</v>
      </c>
      <c r="AB100" s="32">
        <v>0</v>
      </c>
      <c r="AC100" s="32">
        <f t="shared" si="21"/>
        <v>44078.93</v>
      </c>
      <c r="AD100" s="32">
        <v>0</v>
      </c>
      <c r="AE100" s="32">
        <v>0</v>
      </c>
      <c r="AF100" s="35" t="s">
        <v>275</v>
      </c>
      <c r="AG100" s="35">
        <v>2020</v>
      </c>
      <c r="AH100" s="36">
        <v>2020</v>
      </c>
    </row>
    <row r="101" spans="1:34" ht="61.5" x14ac:dyDescent="0.85">
      <c r="A101" s="21">
        <v>1</v>
      </c>
      <c r="B101" s="70">
        <f>SUBTOTAL(103,$A$22:A101)</f>
        <v>80</v>
      </c>
      <c r="C101" s="25" t="s">
        <v>1193</v>
      </c>
      <c r="D101" s="32">
        <f t="shared" si="18"/>
        <v>1571964.73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4">
        <v>0</v>
      </c>
      <c r="L101" s="32">
        <v>0</v>
      </c>
      <c r="M101" s="32">
        <v>450</v>
      </c>
      <c r="N101" s="32">
        <v>1548733.72</v>
      </c>
      <c r="O101" s="32">
        <v>0</v>
      </c>
      <c r="P101" s="32">
        <v>0</v>
      </c>
      <c r="Q101" s="32">
        <v>0</v>
      </c>
      <c r="R101" s="32">
        <v>0</v>
      </c>
      <c r="S101" s="32">
        <v>0</v>
      </c>
      <c r="T101" s="32">
        <v>0</v>
      </c>
      <c r="U101" s="32">
        <v>0</v>
      </c>
      <c r="V101" s="32">
        <v>0</v>
      </c>
      <c r="W101" s="32">
        <v>0</v>
      </c>
      <c r="X101" s="32">
        <v>0</v>
      </c>
      <c r="Y101" s="32">
        <v>0</v>
      </c>
      <c r="Z101" s="32">
        <v>0</v>
      </c>
      <c r="AA101" s="32">
        <v>0</v>
      </c>
      <c r="AB101" s="32">
        <v>0</v>
      </c>
      <c r="AC101" s="32">
        <f t="shared" si="21"/>
        <v>23231.01</v>
      </c>
      <c r="AD101" s="32">
        <v>0</v>
      </c>
      <c r="AE101" s="32">
        <v>0</v>
      </c>
      <c r="AF101" s="35" t="s">
        <v>275</v>
      </c>
      <c r="AG101" s="35">
        <v>2020</v>
      </c>
      <c r="AH101" s="36">
        <v>2020</v>
      </c>
    </row>
    <row r="102" spans="1:34" ht="61.5" x14ac:dyDescent="0.85">
      <c r="A102" s="21">
        <v>1</v>
      </c>
      <c r="B102" s="70">
        <f>SUBTOTAL(103,$A$22:A102)</f>
        <v>81</v>
      </c>
      <c r="C102" s="25" t="s">
        <v>1194</v>
      </c>
      <c r="D102" s="32">
        <f t="shared" si="18"/>
        <v>1564566.8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4">
        <v>0</v>
      </c>
      <c r="L102" s="32">
        <v>0</v>
      </c>
      <c r="M102" s="32">
        <v>450</v>
      </c>
      <c r="N102" s="32">
        <v>1541445.12</v>
      </c>
      <c r="O102" s="32">
        <v>0</v>
      </c>
      <c r="P102" s="32">
        <v>0</v>
      </c>
      <c r="Q102" s="32">
        <v>0</v>
      </c>
      <c r="R102" s="32">
        <v>0</v>
      </c>
      <c r="S102" s="32">
        <v>0</v>
      </c>
      <c r="T102" s="32">
        <v>0</v>
      </c>
      <c r="U102" s="32">
        <v>0</v>
      </c>
      <c r="V102" s="32">
        <v>0</v>
      </c>
      <c r="W102" s="32">
        <v>0</v>
      </c>
      <c r="X102" s="32">
        <v>0</v>
      </c>
      <c r="Y102" s="32">
        <v>0</v>
      </c>
      <c r="Z102" s="32">
        <v>0</v>
      </c>
      <c r="AA102" s="32">
        <v>0</v>
      </c>
      <c r="AB102" s="32">
        <v>0</v>
      </c>
      <c r="AC102" s="32">
        <f t="shared" si="21"/>
        <v>23121.68</v>
      </c>
      <c r="AD102" s="32">
        <v>0</v>
      </c>
      <c r="AE102" s="32">
        <v>0</v>
      </c>
      <c r="AF102" s="35" t="s">
        <v>275</v>
      </c>
      <c r="AG102" s="35">
        <v>2020</v>
      </c>
      <c r="AH102" s="36">
        <v>2020</v>
      </c>
    </row>
    <row r="103" spans="1:34" ht="61.5" x14ac:dyDescent="0.85">
      <c r="A103" s="21">
        <v>1</v>
      </c>
      <c r="B103" s="70">
        <f>SUBTOTAL(103,$A$22:A103)</f>
        <v>82</v>
      </c>
      <c r="C103" s="25" t="s">
        <v>1195</v>
      </c>
      <c r="D103" s="32">
        <f t="shared" si="18"/>
        <v>3053913.67</v>
      </c>
      <c r="E103" s="32">
        <v>0</v>
      </c>
      <c r="F103" s="32">
        <v>0</v>
      </c>
      <c r="G103" s="32">
        <v>0</v>
      </c>
      <c r="H103" s="32">
        <v>0</v>
      </c>
      <c r="I103" s="32">
        <v>0</v>
      </c>
      <c r="J103" s="32">
        <v>0</v>
      </c>
      <c r="K103" s="34">
        <v>2</v>
      </c>
      <c r="L103" s="32">
        <v>3053913.67</v>
      </c>
      <c r="M103" s="32">
        <v>0</v>
      </c>
      <c r="N103" s="32">
        <v>0</v>
      </c>
      <c r="O103" s="32">
        <v>0</v>
      </c>
      <c r="P103" s="32">
        <v>0</v>
      </c>
      <c r="Q103" s="32">
        <v>0</v>
      </c>
      <c r="R103" s="32">
        <v>0</v>
      </c>
      <c r="S103" s="32">
        <v>0</v>
      </c>
      <c r="T103" s="32">
        <v>0</v>
      </c>
      <c r="U103" s="32">
        <v>0</v>
      </c>
      <c r="V103" s="32">
        <v>0</v>
      </c>
      <c r="W103" s="32">
        <v>0</v>
      </c>
      <c r="X103" s="32">
        <v>0</v>
      </c>
      <c r="Y103" s="32">
        <v>0</v>
      </c>
      <c r="Z103" s="32">
        <v>0</v>
      </c>
      <c r="AA103" s="32">
        <v>0</v>
      </c>
      <c r="AB103" s="32">
        <v>0</v>
      </c>
      <c r="AC103" s="32">
        <v>0</v>
      </c>
      <c r="AD103" s="32">
        <v>0</v>
      </c>
      <c r="AE103" s="32">
        <v>0</v>
      </c>
      <c r="AF103" s="35" t="s">
        <v>275</v>
      </c>
      <c r="AG103" s="35">
        <v>2020</v>
      </c>
      <c r="AH103" s="36" t="s">
        <v>275</v>
      </c>
    </row>
    <row r="104" spans="1:34" ht="61.5" x14ac:dyDescent="0.85">
      <c r="A104" s="21">
        <v>1</v>
      </c>
      <c r="B104" s="70">
        <f>SUBTOTAL(103,$A$22:A104)</f>
        <v>83</v>
      </c>
      <c r="C104" s="25" t="s">
        <v>1196</v>
      </c>
      <c r="D104" s="32">
        <f t="shared" si="18"/>
        <v>4090124.09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34">
        <v>2</v>
      </c>
      <c r="L104" s="32">
        <v>4090124.09</v>
      </c>
      <c r="M104" s="32">
        <v>0</v>
      </c>
      <c r="N104" s="32">
        <v>0</v>
      </c>
      <c r="O104" s="32">
        <v>0</v>
      </c>
      <c r="P104" s="32">
        <v>0</v>
      </c>
      <c r="Q104" s="32">
        <v>0</v>
      </c>
      <c r="R104" s="32">
        <v>0</v>
      </c>
      <c r="S104" s="32">
        <v>0</v>
      </c>
      <c r="T104" s="32">
        <v>0</v>
      </c>
      <c r="U104" s="32">
        <v>0</v>
      </c>
      <c r="V104" s="32">
        <v>0</v>
      </c>
      <c r="W104" s="32">
        <v>0</v>
      </c>
      <c r="X104" s="32">
        <v>0</v>
      </c>
      <c r="Y104" s="32">
        <v>0</v>
      </c>
      <c r="Z104" s="32">
        <v>0</v>
      </c>
      <c r="AA104" s="32">
        <v>0</v>
      </c>
      <c r="AB104" s="32">
        <v>0</v>
      </c>
      <c r="AC104" s="32">
        <v>0</v>
      </c>
      <c r="AD104" s="32">
        <v>0</v>
      </c>
      <c r="AE104" s="32">
        <v>0</v>
      </c>
      <c r="AF104" s="35" t="s">
        <v>275</v>
      </c>
      <c r="AG104" s="35">
        <v>2020</v>
      </c>
      <c r="AH104" s="36" t="s">
        <v>275</v>
      </c>
    </row>
    <row r="105" spans="1:34" ht="61.5" x14ac:dyDescent="0.85">
      <c r="A105" s="21">
        <v>1</v>
      </c>
      <c r="B105" s="70">
        <f>SUBTOTAL(103,$A$22:A105)</f>
        <v>84</v>
      </c>
      <c r="C105" s="25" t="s">
        <v>1197</v>
      </c>
      <c r="D105" s="32">
        <f t="shared" si="18"/>
        <v>1338154.29</v>
      </c>
      <c r="E105" s="32">
        <v>0</v>
      </c>
      <c r="F105" s="32">
        <v>0</v>
      </c>
      <c r="G105" s="32">
        <v>0</v>
      </c>
      <c r="H105" s="32">
        <v>0</v>
      </c>
      <c r="I105" s="32">
        <v>0</v>
      </c>
      <c r="J105" s="32">
        <v>0</v>
      </c>
      <c r="K105" s="34">
        <v>0</v>
      </c>
      <c r="L105" s="32">
        <v>0</v>
      </c>
      <c r="M105" s="32">
        <v>0</v>
      </c>
      <c r="N105" s="32">
        <v>0</v>
      </c>
      <c r="O105" s="32">
        <v>278</v>
      </c>
      <c r="P105" s="32">
        <v>1318378.6100000001</v>
      </c>
      <c r="Q105" s="32">
        <v>0</v>
      </c>
      <c r="R105" s="32">
        <v>0</v>
      </c>
      <c r="S105" s="32">
        <v>0</v>
      </c>
      <c r="T105" s="32">
        <v>0</v>
      </c>
      <c r="U105" s="32">
        <v>0</v>
      </c>
      <c r="V105" s="32">
        <v>0</v>
      </c>
      <c r="W105" s="32">
        <v>0</v>
      </c>
      <c r="X105" s="32">
        <v>0</v>
      </c>
      <c r="Y105" s="32">
        <v>0</v>
      </c>
      <c r="Z105" s="32">
        <v>0</v>
      </c>
      <c r="AA105" s="32">
        <v>0</v>
      </c>
      <c r="AB105" s="32">
        <v>0</v>
      </c>
      <c r="AC105" s="32">
        <f>ROUND(P105*1.5%,2)</f>
        <v>19775.68</v>
      </c>
      <c r="AD105" s="32">
        <v>0</v>
      </c>
      <c r="AE105" s="32">
        <v>0</v>
      </c>
      <c r="AF105" s="35" t="s">
        <v>275</v>
      </c>
      <c r="AG105" s="35">
        <v>2020</v>
      </c>
      <c r="AH105" s="36">
        <v>2020</v>
      </c>
    </row>
    <row r="106" spans="1:34" ht="61.5" x14ac:dyDescent="0.85">
      <c r="A106" s="21">
        <v>1</v>
      </c>
      <c r="B106" s="70">
        <f>SUBTOTAL(103,$A$22:A106)</f>
        <v>85</v>
      </c>
      <c r="C106" s="25" t="s">
        <v>1198</v>
      </c>
      <c r="D106" s="32">
        <f t="shared" si="18"/>
        <v>221671.53999999998</v>
      </c>
      <c r="E106" s="32">
        <v>102509.44</v>
      </c>
      <c r="F106" s="32">
        <v>0</v>
      </c>
      <c r="G106" s="32">
        <v>0</v>
      </c>
      <c r="H106" s="32">
        <v>115886.17</v>
      </c>
      <c r="I106" s="32">
        <v>0</v>
      </c>
      <c r="J106" s="32">
        <v>0</v>
      </c>
      <c r="K106" s="34">
        <v>0</v>
      </c>
      <c r="L106" s="32">
        <v>0</v>
      </c>
      <c r="M106" s="32">
        <v>0</v>
      </c>
      <c r="N106" s="32">
        <v>0</v>
      </c>
      <c r="O106" s="32">
        <v>0</v>
      </c>
      <c r="P106" s="32">
        <v>0</v>
      </c>
      <c r="Q106" s="32">
        <v>0</v>
      </c>
      <c r="R106" s="32">
        <v>0</v>
      </c>
      <c r="S106" s="32">
        <v>0</v>
      </c>
      <c r="T106" s="32">
        <v>0</v>
      </c>
      <c r="U106" s="32">
        <v>0</v>
      </c>
      <c r="V106" s="32">
        <v>0</v>
      </c>
      <c r="W106" s="32">
        <v>0</v>
      </c>
      <c r="X106" s="32">
        <v>0</v>
      </c>
      <c r="Y106" s="32">
        <v>0</v>
      </c>
      <c r="Z106" s="32">
        <v>0</v>
      </c>
      <c r="AA106" s="32">
        <v>0</v>
      </c>
      <c r="AB106" s="32">
        <v>0</v>
      </c>
      <c r="AC106" s="32">
        <f>ROUND((E106+F106+G106+H106+I106+J106)*1.5%,2)</f>
        <v>3275.93</v>
      </c>
      <c r="AD106" s="32">
        <v>0</v>
      </c>
      <c r="AE106" s="32">
        <v>0</v>
      </c>
      <c r="AF106" s="35" t="s">
        <v>275</v>
      </c>
      <c r="AG106" s="35">
        <v>2020</v>
      </c>
      <c r="AH106" s="36">
        <v>2020</v>
      </c>
    </row>
    <row r="107" spans="1:34" ht="61.5" x14ac:dyDescent="0.85">
      <c r="A107" s="21">
        <v>1</v>
      </c>
      <c r="B107" s="70">
        <f>SUBTOTAL(103,$A$22:A107)</f>
        <v>86</v>
      </c>
      <c r="C107" s="25" t="s">
        <v>1199</v>
      </c>
      <c r="D107" s="32">
        <f t="shared" si="18"/>
        <v>424198.25999999995</v>
      </c>
      <c r="E107" s="32">
        <v>138685.66</v>
      </c>
      <c r="F107" s="32">
        <v>0</v>
      </c>
      <c r="G107" s="32">
        <v>0</v>
      </c>
      <c r="H107" s="32">
        <v>279243.65999999997</v>
      </c>
      <c r="I107" s="32">
        <v>0</v>
      </c>
      <c r="J107" s="32">
        <v>0</v>
      </c>
      <c r="K107" s="34">
        <v>0</v>
      </c>
      <c r="L107" s="32">
        <v>0</v>
      </c>
      <c r="M107" s="32">
        <v>0</v>
      </c>
      <c r="N107" s="32">
        <v>0</v>
      </c>
      <c r="O107" s="32">
        <v>0</v>
      </c>
      <c r="P107" s="32">
        <v>0</v>
      </c>
      <c r="Q107" s="32">
        <v>0</v>
      </c>
      <c r="R107" s="32">
        <v>0</v>
      </c>
      <c r="S107" s="32">
        <v>0</v>
      </c>
      <c r="T107" s="32">
        <v>0</v>
      </c>
      <c r="U107" s="32">
        <v>0</v>
      </c>
      <c r="V107" s="32">
        <v>0</v>
      </c>
      <c r="W107" s="32">
        <v>0</v>
      </c>
      <c r="X107" s="32">
        <v>0</v>
      </c>
      <c r="Y107" s="32">
        <v>0</v>
      </c>
      <c r="Z107" s="32">
        <v>0</v>
      </c>
      <c r="AA107" s="32">
        <v>0</v>
      </c>
      <c r="AB107" s="32">
        <v>0</v>
      </c>
      <c r="AC107" s="32">
        <f>ROUND((E107+F107+G107+H107+I107+J107)*1.5%,2)</f>
        <v>6268.94</v>
      </c>
      <c r="AD107" s="32">
        <v>0</v>
      </c>
      <c r="AE107" s="32">
        <v>0</v>
      </c>
      <c r="AF107" s="35" t="s">
        <v>275</v>
      </c>
      <c r="AG107" s="35">
        <v>2020</v>
      </c>
      <c r="AH107" s="36">
        <v>2020</v>
      </c>
    </row>
    <row r="108" spans="1:34" ht="61.5" x14ac:dyDescent="0.85">
      <c r="A108" s="21">
        <v>1</v>
      </c>
      <c r="B108" s="70">
        <f>SUBTOTAL(103,$A$22:A108)</f>
        <v>87</v>
      </c>
      <c r="C108" s="25" t="s">
        <v>1200</v>
      </c>
      <c r="D108" s="32">
        <f t="shared" si="18"/>
        <v>1681648.14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4">
        <v>0</v>
      </c>
      <c r="L108" s="32">
        <v>0</v>
      </c>
      <c r="M108" s="32">
        <v>453.4</v>
      </c>
      <c r="N108" s="32">
        <v>1656796.2</v>
      </c>
      <c r="O108" s="32">
        <v>0</v>
      </c>
      <c r="P108" s="32">
        <v>0</v>
      </c>
      <c r="Q108" s="32">
        <v>0</v>
      </c>
      <c r="R108" s="32">
        <v>0</v>
      </c>
      <c r="S108" s="32">
        <v>0</v>
      </c>
      <c r="T108" s="32">
        <v>0</v>
      </c>
      <c r="U108" s="32">
        <v>0</v>
      </c>
      <c r="V108" s="32">
        <v>0</v>
      </c>
      <c r="W108" s="32">
        <v>0</v>
      </c>
      <c r="X108" s="32">
        <v>0</v>
      </c>
      <c r="Y108" s="32">
        <v>0</v>
      </c>
      <c r="Z108" s="32">
        <v>0</v>
      </c>
      <c r="AA108" s="32">
        <v>0</v>
      </c>
      <c r="AB108" s="32">
        <v>0</v>
      </c>
      <c r="AC108" s="32">
        <f t="shared" ref="AC108:AC109" si="22">ROUND(N108*1.5%,2)</f>
        <v>24851.94</v>
      </c>
      <c r="AD108" s="32">
        <v>0</v>
      </c>
      <c r="AE108" s="32">
        <v>0</v>
      </c>
      <c r="AF108" s="35" t="s">
        <v>275</v>
      </c>
      <c r="AG108" s="35">
        <v>2020</v>
      </c>
      <c r="AH108" s="36">
        <v>2020</v>
      </c>
    </row>
    <row r="109" spans="1:34" ht="61.5" x14ac:dyDescent="0.85">
      <c r="A109" s="21">
        <v>1</v>
      </c>
      <c r="B109" s="70">
        <f>SUBTOTAL(103,$A$22:A109)</f>
        <v>88</v>
      </c>
      <c r="C109" s="25" t="s">
        <v>1201</v>
      </c>
      <c r="D109" s="32">
        <f t="shared" si="18"/>
        <v>1772546.72</v>
      </c>
      <c r="E109" s="32">
        <v>0</v>
      </c>
      <c r="F109" s="32">
        <v>0</v>
      </c>
      <c r="G109" s="32">
        <v>0</v>
      </c>
      <c r="H109" s="32">
        <v>0</v>
      </c>
      <c r="I109" s="32">
        <v>0</v>
      </c>
      <c r="J109" s="32">
        <v>0</v>
      </c>
      <c r="K109" s="34">
        <v>0</v>
      </c>
      <c r="L109" s="32">
        <v>0</v>
      </c>
      <c r="M109" s="32">
        <v>523.98</v>
      </c>
      <c r="N109" s="32">
        <v>1746351.45</v>
      </c>
      <c r="O109" s="32">
        <v>0</v>
      </c>
      <c r="P109" s="32">
        <v>0</v>
      </c>
      <c r="Q109" s="32">
        <v>0</v>
      </c>
      <c r="R109" s="32">
        <v>0</v>
      </c>
      <c r="S109" s="32">
        <v>0</v>
      </c>
      <c r="T109" s="32">
        <v>0</v>
      </c>
      <c r="U109" s="32">
        <v>0</v>
      </c>
      <c r="V109" s="32">
        <v>0</v>
      </c>
      <c r="W109" s="32">
        <v>0</v>
      </c>
      <c r="X109" s="32">
        <v>0</v>
      </c>
      <c r="Y109" s="32">
        <v>0</v>
      </c>
      <c r="Z109" s="32">
        <v>0</v>
      </c>
      <c r="AA109" s="32">
        <v>0</v>
      </c>
      <c r="AB109" s="32">
        <v>0</v>
      </c>
      <c r="AC109" s="32">
        <f t="shared" si="22"/>
        <v>26195.27</v>
      </c>
      <c r="AD109" s="32">
        <v>0</v>
      </c>
      <c r="AE109" s="32">
        <v>0</v>
      </c>
      <c r="AF109" s="35" t="s">
        <v>275</v>
      </c>
      <c r="AG109" s="35">
        <v>2020</v>
      </c>
      <c r="AH109" s="36">
        <v>2020</v>
      </c>
    </row>
    <row r="110" spans="1:34" ht="61.5" x14ac:dyDescent="0.85">
      <c r="A110" s="21">
        <v>1</v>
      </c>
      <c r="B110" s="70">
        <f>SUBTOTAL(103,$A$22:A110)</f>
        <v>89</v>
      </c>
      <c r="C110" s="25" t="s">
        <v>1202</v>
      </c>
      <c r="D110" s="32">
        <f t="shared" si="18"/>
        <v>7464191.71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4">
        <v>0</v>
      </c>
      <c r="L110" s="32">
        <v>0</v>
      </c>
      <c r="M110" s="32">
        <v>0</v>
      </c>
      <c r="N110" s="32">
        <v>0</v>
      </c>
      <c r="O110" s="32">
        <v>0</v>
      </c>
      <c r="P110" s="32">
        <v>0</v>
      </c>
      <c r="Q110" s="32">
        <v>1389</v>
      </c>
      <c r="R110" s="32">
        <v>7353883.46</v>
      </c>
      <c r="S110" s="32">
        <v>0</v>
      </c>
      <c r="T110" s="32">
        <v>0</v>
      </c>
      <c r="U110" s="32">
        <v>0</v>
      </c>
      <c r="V110" s="32">
        <v>0</v>
      </c>
      <c r="W110" s="32">
        <v>0</v>
      </c>
      <c r="X110" s="32">
        <v>0</v>
      </c>
      <c r="Y110" s="32">
        <v>0</v>
      </c>
      <c r="Z110" s="32">
        <v>0</v>
      </c>
      <c r="AA110" s="32">
        <v>0</v>
      </c>
      <c r="AB110" s="32">
        <v>0</v>
      </c>
      <c r="AC110" s="32">
        <f>ROUND(R110*1.5%,2)</f>
        <v>110308.25</v>
      </c>
      <c r="AD110" s="32">
        <v>0</v>
      </c>
      <c r="AE110" s="32">
        <v>0</v>
      </c>
      <c r="AF110" s="35" t="s">
        <v>275</v>
      </c>
      <c r="AG110" s="35">
        <v>2020</v>
      </c>
      <c r="AH110" s="36">
        <v>2020</v>
      </c>
    </row>
    <row r="111" spans="1:34" ht="61.5" x14ac:dyDescent="0.85">
      <c r="A111" s="21">
        <v>1</v>
      </c>
      <c r="B111" s="70">
        <f>SUBTOTAL(103,$A$22:A111)</f>
        <v>90</v>
      </c>
      <c r="C111" s="25" t="s">
        <v>1203</v>
      </c>
      <c r="D111" s="32">
        <f t="shared" si="18"/>
        <v>3246985.8699999996</v>
      </c>
      <c r="E111" s="32">
        <v>0</v>
      </c>
      <c r="F111" s="32">
        <v>0</v>
      </c>
      <c r="G111" s="32">
        <v>0</v>
      </c>
      <c r="H111" s="32">
        <v>0</v>
      </c>
      <c r="I111" s="32">
        <v>0</v>
      </c>
      <c r="J111" s="32">
        <v>0</v>
      </c>
      <c r="K111" s="34">
        <v>0</v>
      </c>
      <c r="L111" s="32">
        <v>0</v>
      </c>
      <c r="M111" s="32">
        <v>1093</v>
      </c>
      <c r="N111" s="32">
        <v>3199000.86</v>
      </c>
      <c r="O111" s="32">
        <v>0</v>
      </c>
      <c r="P111" s="32">
        <v>0</v>
      </c>
      <c r="Q111" s="32">
        <v>0</v>
      </c>
      <c r="R111" s="32">
        <v>0</v>
      </c>
      <c r="S111" s="32">
        <v>0</v>
      </c>
      <c r="T111" s="32">
        <v>0</v>
      </c>
      <c r="U111" s="32">
        <v>0</v>
      </c>
      <c r="V111" s="32">
        <v>0</v>
      </c>
      <c r="W111" s="32">
        <v>0</v>
      </c>
      <c r="X111" s="32">
        <v>0</v>
      </c>
      <c r="Y111" s="32">
        <v>0</v>
      </c>
      <c r="Z111" s="32">
        <v>0</v>
      </c>
      <c r="AA111" s="32">
        <v>0</v>
      </c>
      <c r="AB111" s="32">
        <v>0</v>
      </c>
      <c r="AC111" s="32">
        <f>ROUND(N111*1.5%,2)</f>
        <v>47985.01</v>
      </c>
      <c r="AD111" s="32">
        <v>0</v>
      </c>
      <c r="AE111" s="32">
        <v>0</v>
      </c>
      <c r="AF111" s="35" t="s">
        <v>275</v>
      </c>
      <c r="AG111" s="35">
        <v>2020</v>
      </c>
      <c r="AH111" s="36">
        <v>2020</v>
      </c>
    </row>
    <row r="112" spans="1:34" ht="61.5" x14ac:dyDescent="0.85">
      <c r="A112" s="21">
        <v>1</v>
      </c>
      <c r="B112" s="70">
        <f>SUBTOTAL(103,$A$22:A112)</f>
        <v>91</v>
      </c>
      <c r="C112" s="25" t="s">
        <v>1204</v>
      </c>
      <c r="D112" s="32">
        <f t="shared" si="18"/>
        <v>3669696.98</v>
      </c>
      <c r="E112" s="32">
        <v>0</v>
      </c>
      <c r="F112" s="32">
        <v>0</v>
      </c>
      <c r="G112" s="32">
        <v>0</v>
      </c>
      <c r="H112" s="32">
        <v>0</v>
      </c>
      <c r="I112" s="32">
        <v>0</v>
      </c>
      <c r="J112" s="32">
        <v>0</v>
      </c>
      <c r="K112" s="34">
        <v>0</v>
      </c>
      <c r="L112" s="32">
        <v>0</v>
      </c>
      <c r="M112" s="32">
        <v>0</v>
      </c>
      <c r="N112" s="32">
        <v>0</v>
      </c>
      <c r="O112" s="32">
        <v>0</v>
      </c>
      <c r="P112" s="32">
        <v>0</v>
      </c>
      <c r="Q112" s="32">
        <v>1778.5</v>
      </c>
      <c r="R112" s="32">
        <v>3615465</v>
      </c>
      <c r="S112" s="32">
        <v>0</v>
      </c>
      <c r="T112" s="32">
        <v>0</v>
      </c>
      <c r="U112" s="32">
        <v>0</v>
      </c>
      <c r="V112" s="32">
        <v>0</v>
      </c>
      <c r="W112" s="32">
        <v>0</v>
      </c>
      <c r="X112" s="32">
        <v>0</v>
      </c>
      <c r="Y112" s="32">
        <v>0</v>
      </c>
      <c r="Z112" s="32">
        <v>0</v>
      </c>
      <c r="AA112" s="32">
        <v>0</v>
      </c>
      <c r="AB112" s="32">
        <v>0</v>
      </c>
      <c r="AC112" s="32">
        <f>ROUND(R112*1.5%,2)</f>
        <v>54231.98</v>
      </c>
      <c r="AD112" s="32">
        <v>0</v>
      </c>
      <c r="AE112" s="32">
        <v>0</v>
      </c>
      <c r="AF112" s="35" t="s">
        <v>275</v>
      </c>
      <c r="AG112" s="35">
        <v>2020</v>
      </c>
      <c r="AH112" s="36">
        <v>2020</v>
      </c>
    </row>
    <row r="113" spans="1:46" ht="61.5" x14ac:dyDescent="0.85">
      <c r="A113" s="21">
        <v>1</v>
      </c>
      <c r="B113" s="70">
        <f>SUBTOTAL(103,$A$22:A113)</f>
        <v>92</v>
      </c>
      <c r="C113" s="25" t="s">
        <v>1205</v>
      </c>
      <c r="D113" s="32">
        <f t="shared" si="18"/>
        <v>3912729.53</v>
      </c>
      <c r="E113" s="32">
        <v>0</v>
      </c>
      <c r="F113" s="32">
        <v>0</v>
      </c>
      <c r="G113" s="32">
        <v>0</v>
      </c>
      <c r="H113" s="32">
        <v>0</v>
      </c>
      <c r="I113" s="32">
        <v>0</v>
      </c>
      <c r="J113" s="32">
        <v>0</v>
      </c>
      <c r="K113" s="34">
        <v>0</v>
      </c>
      <c r="L113" s="32">
        <v>0</v>
      </c>
      <c r="M113" s="32">
        <v>900.3</v>
      </c>
      <c r="N113" s="32">
        <v>3854905.94</v>
      </c>
      <c r="O113" s="32">
        <v>0</v>
      </c>
      <c r="P113" s="32">
        <v>0</v>
      </c>
      <c r="Q113" s="32">
        <v>0</v>
      </c>
      <c r="R113" s="32">
        <v>0</v>
      </c>
      <c r="S113" s="32">
        <v>0</v>
      </c>
      <c r="T113" s="32">
        <v>0</v>
      </c>
      <c r="U113" s="32">
        <v>0</v>
      </c>
      <c r="V113" s="32">
        <v>0</v>
      </c>
      <c r="W113" s="32">
        <v>0</v>
      </c>
      <c r="X113" s="32">
        <v>0</v>
      </c>
      <c r="Y113" s="32">
        <v>0</v>
      </c>
      <c r="Z113" s="32">
        <v>0</v>
      </c>
      <c r="AA113" s="32">
        <v>0</v>
      </c>
      <c r="AB113" s="32">
        <v>0</v>
      </c>
      <c r="AC113" s="32">
        <f>ROUND(N113*1.5%,2)</f>
        <v>57823.59</v>
      </c>
      <c r="AD113" s="32">
        <v>0</v>
      </c>
      <c r="AE113" s="32">
        <v>0</v>
      </c>
      <c r="AF113" s="35" t="s">
        <v>275</v>
      </c>
      <c r="AG113" s="35">
        <v>2020</v>
      </c>
      <c r="AH113" s="36">
        <v>2020</v>
      </c>
    </row>
    <row r="114" spans="1:46" ht="61.5" x14ac:dyDescent="0.85">
      <c r="A114" s="21">
        <v>1</v>
      </c>
      <c r="B114" s="70">
        <f>SUBTOTAL(103,$A$22:A114)</f>
        <v>93</v>
      </c>
      <c r="C114" s="25" t="s">
        <v>1206</v>
      </c>
      <c r="D114" s="32">
        <f t="shared" si="18"/>
        <v>3455983.14</v>
      </c>
      <c r="E114" s="32">
        <v>0</v>
      </c>
      <c r="F114" s="32">
        <v>0</v>
      </c>
      <c r="G114" s="32">
        <v>0</v>
      </c>
      <c r="H114" s="32">
        <v>0</v>
      </c>
      <c r="I114" s="32">
        <v>0</v>
      </c>
      <c r="J114" s="32">
        <v>0</v>
      </c>
      <c r="K114" s="34">
        <v>0</v>
      </c>
      <c r="L114" s="32">
        <v>0</v>
      </c>
      <c r="M114" s="32">
        <v>0</v>
      </c>
      <c r="N114" s="32">
        <v>0</v>
      </c>
      <c r="O114" s="32">
        <v>0</v>
      </c>
      <c r="P114" s="32">
        <v>0</v>
      </c>
      <c r="Q114" s="32">
        <v>820</v>
      </c>
      <c r="R114" s="32">
        <v>3404909.5</v>
      </c>
      <c r="S114" s="32">
        <v>0</v>
      </c>
      <c r="T114" s="32">
        <v>0</v>
      </c>
      <c r="U114" s="32">
        <v>0</v>
      </c>
      <c r="V114" s="32">
        <v>0</v>
      </c>
      <c r="W114" s="32">
        <v>0</v>
      </c>
      <c r="X114" s="32">
        <v>0</v>
      </c>
      <c r="Y114" s="32">
        <v>0</v>
      </c>
      <c r="Z114" s="32">
        <v>0</v>
      </c>
      <c r="AA114" s="32">
        <v>0</v>
      </c>
      <c r="AB114" s="32">
        <v>0</v>
      </c>
      <c r="AC114" s="32">
        <f t="shared" ref="AC114:AC117" si="23">ROUND(R114*1.5%,2)</f>
        <v>51073.64</v>
      </c>
      <c r="AD114" s="32">
        <v>0</v>
      </c>
      <c r="AE114" s="32">
        <v>0</v>
      </c>
      <c r="AF114" s="35" t="s">
        <v>275</v>
      </c>
      <c r="AG114" s="35">
        <v>2020</v>
      </c>
      <c r="AH114" s="36">
        <v>2020</v>
      </c>
    </row>
    <row r="115" spans="1:46" ht="61.5" x14ac:dyDescent="0.85">
      <c r="A115" s="21">
        <v>1</v>
      </c>
      <c r="B115" s="70">
        <f>SUBTOTAL(103,$A$22:A115)</f>
        <v>94</v>
      </c>
      <c r="C115" s="25" t="s">
        <v>1207</v>
      </c>
      <c r="D115" s="32">
        <f t="shared" si="18"/>
        <v>1962493.37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32">
        <v>0</v>
      </c>
      <c r="K115" s="34">
        <v>0</v>
      </c>
      <c r="L115" s="32">
        <v>0</v>
      </c>
      <c r="M115" s="32">
        <v>0</v>
      </c>
      <c r="N115" s="32">
        <v>0</v>
      </c>
      <c r="O115" s="32">
        <v>0</v>
      </c>
      <c r="P115" s="32">
        <v>0</v>
      </c>
      <c r="Q115" s="32">
        <v>511</v>
      </c>
      <c r="R115" s="32">
        <v>1933491</v>
      </c>
      <c r="S115" s="32">
        <v>0</v>
      </c>
      <c r="T115" s="32">
        <v>0</v>
      </c>
      <c r="U115" s="32">
        <v>0</v>
      </c>
      <c r="V115" s="32">
        <v>0</v>
      </c>
      <c r="W115" s="32">
        <v>0</v>
      </c>
      <c r="X115" s="32">
        <v>0</v>
      </c>
      <c r="Y115" s="32">
        <v>0</v>
      </c>
      <c r="Z115" s="32">
        <v>0</v>
      </c>
      <c r="AA115" s="32">
        <v>0</v>
      </c>
      <c r="AB115" s="32">
        <v>0</v>
      </c>
      <c r="AC115" s="32">
        <f t="shared" si="23"/>
        <v>29002.37</v>
      </c>
      <c r="AD115" s="32">
        <v>0</v>
      </c>
      <c r="AE115" s="32">
        <v>0</v>
      </c>
      <c r="AF115" s="35" t="s">
        <v>275</v>
      </c>
      <c r="AG115" s="35">
        <v>2020</v>
      </c>
      <c r="AH115" s="36">
        <v>2020</v>
      </c>
    </row>
    <row r="116" spans="1:46" ht="61.5" x14ac:dyDescent="0.85">
      <c r="A116" s="21">
        <v>1</v>
      </c>
      <c r="B116" s="70">
        <f>SUBTOTAL(103,$A$22:A116)</f>
        <v>95</v>
      </c>
      <c r="C116" s="25" t="s">
        <v>1208</v>
      </c>
      <c r="D116" s="32">
        <f t="shared" si="18"/>
        <v>2187715.7799999998</v>
      </c>
      <c r="E116" s="32">
        <v>0</v>
      </c>
      <c r="F116" s="32">
        <v>0</v>
      </c>
      <c r="G116" s="32">
        <v>0</v>
      </c>
      <c r="H116" s="32">
        <v>0</v>
      </c>
      <c r="I116" s="32">
        <v>0</v>
      </c>
      <c r="J116" s="32">
        <v>0</v>
      </c>
      <c r="K116" s="34">
        <v>0</v>
      </c>
      <c r="L116" s="32">
        <v>0</v>
      </c>
      <c r="M116" s="32">
        <v>0</v>
      </c>
      <c r="N116" s="32">
        <v>0</v>
      </c>
      <c r="O116" s="32">
        <v>0</v>
      </c>
      <c r="P116" s="32">
        <v>0</v>
      </c>
      <c r="Q116" s="32">
        <v>515.73</v>
      </c>
      <c r="R116" s="32">
        <v>2155385</v>
      </c>
      <c r="S116" s="32">
        <v>0</v>
      </c>
      <c r="T116" s="32">
        <v>0</v>
      </c>
      <c r="U116" s="32">
        <v>0</v>
      </c>
      <c r="V116" s="32">
        <v>0</v>
      </c>
      <c r="W116" s="32">
        <v>0</v>
      </c>
      <c r="X116" s="32">
        <v>0</v>
      </c>
      <c r="Y116" s="32">
        <v>0</v>
      </c>
      <c r="Z116" s="32">
        <v>0</v>
      </c>
      <c r="AA116" s="32">
        <v>0</v>
      </c>
      <c r="AB116" s="32">
        <v>0</v>
      </c>
      <c r="AC116" s="32">
        <f t="shared" si="23"/>
        <v>32330.78</v>
      </c>
      <c r="AD116" s="32">
        <v>0</v>
      </c>
      <c r="AE116" s="32">
        <v>0</v>
      </c>
      <c r="AF116" s="35" t="s">
        <v>275</v>
      </c>
      <c r="AG116" s="35">
        <v>2020</v>
      </c>
      <c r="AH116" s="36">
        <v>2020</v>
      </c>
    </row>
    <row r="117" spans="1:46" ht="61.5" x14ac:dyDescent="0.85">
      <c r="A117" s="21">
        <v>1</v>
      </c>
      <c r="B117" s="70">
        <f>SUBTOTAL(103,$A$22:A117)</f>
        <v>96</v>
      </c>
      <c r="C117" s="25" t="s">
        <v>1209</v>
      </c>
      <c r="D117" s="32">
        <f t="shared" si="18"/>
        <v>3257518.0800000001</v>
      </c>
      <c r="E117" s="32">
        <v>0</v>
      </c>
      <c r="F117" s="32">
        <v>0</v>
      </c>
      <c r="G117" s="32">
        <v>0</v>
      </c>
      <c r="H117" s="32">
        <v>0</v>
      </c>
      <c r="I117" s="32">
        <v>0</v>
      </c>
      <c r="J117" s="32">
        <v>0</v>
      </c>
      <c r="K117" s="34">
        <v>0</v>
      </c>
      <c r="L117" s="32">
        <v>0</v>
      </c>
      <c r="M117" s="32">
        <v>0</v>
      </c>
      <c r="N117" s="32">
        <v>0</v>
      </c>
      <c r="O117" s="32">
        <v>0</v>
      </c>
      <c r="P117" s="32">
        <v>0</v>
      </c>
      <c r="Q117" s="32">
        <v>1522.8</v>
      </c>
      <c r="R117" s="32">
        <v>3209377.42</v>
      </c>
      <c r="S117" s="32">
        <v>0</v>
      </c>
      <c r="T117" s="32">
        <v>0</v>
      </c>
      <c r="U117" s="32">
        <v>0</v>
      </c>
      <c r="V117" s="32">
        <v>0</v>
      </c>
      <c r="W117" s="32">
        <v>0</v>
      </c>
      <c r="X117" s="32">
        <v>0</v>
      </c>
      <c r="Y117" s="32">
        <v>0</v>
      </c>
      <c r="Z117" s="32">
        <v>0</v>
      </c>
      <c r="AA117" s="32">
        <v>0</v>
      </c>
      <c r="AB117" s="32">
        <v>0</v>
      </c>
      <c r="AC117" s="32">
        <f t="shared" si="23"/>
        <v>48140.66</v>
      </c>
      <c r="AD117" s="32">
        <v>0</v>
      </c>
      <c r="AE117" s="32">
        <v>0</v>
      </c>
      <c r="AF117" s="35" t="s">
        <v>275</v>
      </c>
      <c r="AG117" s="35">
        <v>2020</v>
      </c>
      <c r="AH117" s="36">
        <v>2020</v>
      </c>
    </row>
    <row r="118" spans="1:46" ht="61.5" x14ac:dyDescent="0.85">
      <c r="A118" s="21">
        <v>1</v>
      </c>
      <c r="B118" s="70">
        <f>SUBTOTAL(103,$A$22:A118)</f>
        <v>97</v>
      </c>
      <c r="C118" s="25" t="s">
        <v>1210</v>
      </c>
      <c r="D118" s="32">
        <f t="shared" si="18"/>
        <v>2605584.64</v>
      </c>
      <c r="E118" s="32">
        <v>0</v>
      </c>
      <c r="F118" s="32">
        <v>0</v>
      </c>
      <c r="G118" s="32">
        <v>0</v>
      </c>
      <c r="H118" s="32">
        <v>0</v>
      </c>
      <c r="I118" s="32">
        <v>0</v>
      </c>
      <c r="J118" s="32">
        <v>0</v>
      </c>
      <c r="K118" s="34">
        <v>0</v>
      </c>
      <c r="L118" s="32">
        <v>0</v>
      </c>
      <c r="M118" s="32">
        <v>624.25</v>
      </c>
      <c r="N118" s="32">
        <v>2567078.46</v>
      </c>
      <c r="O118" s="32">
        <v>0</v>
      </c>
      <c r="P118" s="32">
        <v>0</v>
      </c>
      <c r="Q118" s="32">
        <v>0</v>
      </c>
      <c r="R118" s="32">
        <v>0</v>
      </c>
      <c r="S118" s="32">
        <v>0</v>
      </c>
      <c r="T118" s="32">
        <v>0</v>
      </c>
      <c r="U118" s="32">
        <v>0</v>
      </c>
      <c r="V118" s="32">
        <v>0</v>
      </c>
      <c r="W118" s="32">
        <v>0</v>
      </c>
      <c r="X118" s="32">
        <v>0</v>
      </c>
      <c r="Y118" s="32">
        <v>0</v>
      </c>
      <c r="Z118" s="32">
        <v>0</v>
      </c>
      <c r="AA118" s="32">
        <v>0</v>
      </c>
      <c r="AB118" s="32">
        <v>0</v>
      </c>
      <c r="AC118" s="32">
        <f>ROUND(N118*1.5%,2)</f>
        <v>38506.18</v>
      </c>
      <c r="AD118" s="32">
        <v>0</v>
      </c>
      <c r="AE118" s="32">
        <v>0</v>
      </c>
      <c r="AF118" s="35" t="s">
        <v>275</v>
      </c>
      <c r="AG118" s="35">
        <v>2020</v>
      </c>
      <c r="AH118" s="36">
        <v>2020</v>
      </c>
    </row>
    <row r="119" spans="1:46" ht="61.5" x14ac:dyDescent="0.85">
      <c r="A119" s="21">
        <v>1</v>
      </c>
      <c r="B119" s="70">
        <f>SUBTOTAL(103,$A$22:A119)</f>
        <v>98</v>
      </c>
      <c r="C119" s="25" t="s">
        <v>1211</v>
      </c>
      <c r="D119" s="32">
        <f t="shared" si="18"/>
        <v>2358908.7200000002</v>
      </c>
      <c r="E119" s="32">
        <v>0</v>
      </c>
      <c r="F119" s="32">
        <v>0</v>
      </c>
      <c r="G119" s="32">
        <v>0</v>
      </c>
      <c r="H119" s="32">
        <v>0</v>
      </c>
      <c r="I119" s="32">
        <v>0</v>
      </c>
      <c r="J119" s="32">
        <v>0</v>
      </c>
      <c r="K119" s="34">
        <v>0</v>
      </c>
      <c r="L119" s="32">
        <v>0</v>
      </c>
      <c r="M119" s="32">
        <v>0</v>
      </c>
      <c r="N119" s="32">
        <v>0</v>
      </c>
      <c r="O119" s="32">
        <v>0</v>
      </c>
      <c r="P119" s="32">
        <v>0</v>
      </c>
      <c r="Q119" s="32">
        <v>649.6</v>
      </c>
      <c r="R119" s="32">
        <v>2324048</v>
      </c>
      <c r="S119" s="32">
        <v>0</v>
      </c>
      <c r="T119" s="32">
        <v>0</v>
      </c>
      <c r="U119" s="32">
        <v>0</v>
      </c>
      <c r="V119" s="32">
        <v>0</v>
      </c>
      <c r="W119" s="32">
        <v>0</v>
      </c>
      <c r="X119" s="32">
        <v>0</v>
      </c>
      <c r="Y119" s="32">
        <v>0</v>
      </c>
      <c r="Z119" s="32">
        <v>0</v>
      </c>
      <c r="AA119" s="32">
        <v>0</v>
      </c>
      <c r="AB119" s="32">
        <v>0</v>
      </c>
      <c r="AC119" s="32">
        <f>ROUND(R119*1.5%,2)</f>
        <v>34860.720000000001</v>
      </c>
      <c r="AD119" s="32">
        <v>0</v>
      </c>
      <c r="AE119" s="32">
        <v>0</v>
      </c>
      <c r="AF119" s="35" t="s">
        <v>275</v>
      </c>
      <c r="AG119" s="35">
        <v>2020</v>
      </c>
      <c r="AH119" s="36">
        <v>2020</v>
      </c>
    </row>
    <row r="120" spans="1:46" ht="61.5" x14ac:dyDescent="0.85">
      <c r="A120" s="21">
        <v>1</v>
      </c>
      <c r="B120" s="70">
        <f>SUBTOTAL(103,$A$22:A120)</f>
        <v>99</v>
      </c>
      <c r="C120" s="25" t="s">
        <v>1212</v>
      </c>
      <c r="D120" s="32">
        <f t="shared" si="18"/>
        <v>1057325.5</v>
      </c>
      <c r="E120" s="32">
        <v>0</v>
      </c>
      <c r="F120" s="32">
        <v>0</v>
      </c>
      <c r="G120" s="32">
        <v>0</v>
      </c>
      <c r="H120" s="32">
        <v>0</v>
      </c>
      <c r="I120" s="32">
        <v>0</v>
      </c>
      <c r="J120" s="32">
        <v>0</v>
      </c>
      <c r="K120" s="34">
        <v>0</v>
      </c>
      <c r="L120" s="32">
        <v>0</v>
      </c>
      <c r="M120" s="32">
        <v>0</v>
      </c>
      <c r="N120" s="32">
        <v>0</v>
      </c>
      <c r="O120" s="32">
        <v>780</v>
      </c>
      <c r="P120" s="32">
        <v>1041700</v>
      </c>
      <c r="Q120" s="32">
        <v>0</v>
      </c>
      <c r="R120" s="32">
        <v>0</v>
      </c>
      <c r="S120" s="32">
        <v>0</v>
      </c>
      <c r="T120" s="32">
        <v>0</v>
      </c>
      <c r="U120" s="32">
        <v>0</v>
      </c>
      <c r="V120" s="32">
        <v>0</v>
      </c>
      <c r="W120" s="32">
        <v>0</v>
      </c>
      <c r="X120" s="32">
        <v>0</v>
      </c>
      <c r="Y120" s="32">
        <v>0</v>
      </c>
      <c r="Z120" s="32">
        <v>0</v>
      </c>
      <c r="AA120" s="32">
        <v>0</v>
      </c>
      <c r="AB120" s="32">
        <v>0</v>
      </c>
      <c r="AC120" s="32">
        <f>ROUND(P120*1.5%,2)</f>
        <v>15625.5</v>
      </c>
      <c r="AD120" s="32">
        <v>0</v>
      </c>
      <c r="AE120" s="32">
        <v>0</v>
      </c>
      <c r="AF120" s="35" t="s">
        <v>275</v>
      </c>
      <c r="AG120" s="35">
        <v>2020</v>
      </c>
      <c r="AH120" s="36">
        <v>2020</v>
      </c>
    </row>
    <row r="121" spans="1:46" ht="61.5" x14ac:dyDescent="0.85">
      <c r="A121" s="21">
        <v>1</v>
      </c>
      <c r="B121" s="70">
        <f>SUBTOTAL(103,$A$22:A121)</f>
        <v>100</v>
      </c>
      <c r="C121" s="25" t="s">
        <v>1213</v>
      </c>
      <c r="D121" s="32">
        <f t="shared" si="18"/>
        <v>5231989.2399999993</v>
      </c>
      <c r="E121" s="32">
        <v>0</v>
      </c>
      <c r="F121" s="32">
        <v>0</v>
      </c>
      <c r="G121" s="32">
        <v>0</v>
      </c>
      <c r="H121" s="32">
        <v>0</v>
      </c>
      <c r="I121" s="32">
        <v>0</v>
      </c>
      <c r="J121" s="32">
        <v>0</v>
      </c>
      <c r="K121" s="34">
        <v>0</v>
      </c>
      <c r="L121" s="32">
        <v>0</v>
      </c>
      <c r="M121" s="32">
        <v>1151.2</v>
      </c>
      <c r="N121" s="32">
        <v>5085703.68</v>
      </c>
      <c r="O121" s="32">
        <v>0</v>
      </c>
      <c r="P121" s="32">
        <v>0</v>
      </c>
      <c r="Q121" s="32">
        <v>0</v>
      </c>
      <c r="R121" s="32">
        <v>0</v>
      </c>
      <c r="S121" s="32">
        <v>0</v>
      </c>
      <c r="T121" s="32">
        <v>0</v>
      </c>
      <c r="U121" s="32">
        <v>0</v>
      </c>
      <c r="V121" s="32">
        <v>0</v>
      </c>
      <c r="W121" s="32">
        <v>0</v>
      </c>
      <c r="X121" s="32">
        <v>0</v>
      </c>
      <c r="Y121" s="32">
        <v>0</v>
      </c>
      <c r="Z121" s="32">
        <v>0</v>
      </c>
      <c r="AA121" s="32">
        <v>0</v>
      </c>
      <c r="AB121" s="32">
        <v>0</v>
      </c>
      <c r="AC121" s="32">
        <f t="shared" ref="AC121:AC123" si="24">ROUND(N121*1.5%,2)</f>
        <v>76285.56</v>
      </c>
      <c r="AD121" s="32">
        <v>70000</v>
      </c>
      <c r="AE121" s="32">
        <v>0</v>
      </c>
      <c r="AF121" s="35">
        <v>2020</v>
      </c>
      <c r="AG121" s="35">
        <v>2020</v>
      </c>
      <c r="AH121" s="36">
        <v>2020</v>
      </c>
    </row>
    <row r="122" spans="1:46" ht="61.5" x14ac:dyDescent="0.85">
      <c r="A122" s="21">
        <v>1</v>
      </c>
      <c r="B122" s="70">
        <f>SUBTOTAL(103,$A$22:A122)</f>
        <v>101</v>
      </c>
      <c r="C122" s="25" t="s">
        <v>1214</v>
      </c>
      <c r="D122" s="32">
        <f t="shared" si="18"/>
        <v>2273967.09</v>
      </c>
      <c r="E122" s="32">
        <v>0</v>
      </c>
      <c r="F122" s="32">
        <v>0</v>
      </c>
      <c r="G122" s="32">
        <v>0</v>
      </c>
      <c r="H122" s="32">
        <v>0</v>
      </c>
      <c r="I122" s="32">
        <v>0</v>
      </c>
      <c r="J122" s="32">
        <v>0</v>
      </c>
      <c r="K122" s="34">
        <v>0</v>
      </c>
      <c r="L122" s="32">
        <v>0</v>
      </c>
      <c r="M122" s="32">
        <v>543.4</v>
      </c>
      <c r="N122" s="32">
        <v>2166470</v>
      </c>
      <c r="O122" s="32">
        <v>0</v>
      </c>
      <c r="P122" s="32">
        <v>0</v>
      </c>
      <c r="Q122" s="32">
        <v>0</v>
      </c>
      <c r="R122" s="32">
        <v>0</v>
      </c>
      <c r="S122" s="32">
        <v>0</v>
      </c>
      <c r="T122" s="32">
        <v>0</v>
      </c>
      <c r="U122" s="32">
        <v>0</v>
      </c>
      <c r="V122" s="32">
        <v>0</v>
      </c>
      <c r="W122" s="32">
        <v>0</v>
      </c>
      <c r="X122" s="32">
        <v>0</v>
      </c>
      <c r="Y122" s="32">
        <v>0</v>
      </c>
      <c r="Z122" s="32">
        <v>0</v>
      </c>
      <c r="AA122" s="32">
        <v>0</v>
      </c>
      <c r="AB122" s="32">
        <v>0</v>
      </c>
      <c r="AC122" s="32">
        <v>32497.05</v>
      </c>
      <c r="AD122" s="32">
        <f>75000+0.04</f>
        <v>75000.039999999994</v>
      </c>
      <c r="AE122" s="32">
        <v>0</v>
      </c>
      <c r="AF122" s="35">
        <v>2020</v>
      </c>
      <c r="AG122" s="35">
        <v>2020</v>
      </c>
      <c r="AH122" s="36">
        <v>2020</v>
      </c>
    </row>
    <row r="123" spans="1:46" ht="61.5" x14ac:dyDescent="0.85">
      <c r="A123" s="21">
        <v>1</v>
      </c>
      <c r="B123" s="70">
        <f>SUBTOTAL(103,$A$22:A123)</f>
        <v>102</v>
      </c>
      <c r="C123" s="25" t="s">
        <v>1215</v>
      </c>
      <c r="D123" s="32">
        <f t="shared" si="18"/>
        <v>2766023.94</v>
      </c>
      <c r="E123" s="32">
        <v>0</v>
      </c>
      <c r="F123" s="32">
        <v>0</v>
      </c>
      <c r="G123" s="32">
        <v>0</v>
      </c>
      <c r="H123" s="32">
        <v>0</v>
      </c>
      <c r="I123" s="32">
        <v>0</v>
      </c>
      <c r="J123" s="32">
        <v>0</v>
      </c>
      <c r="K123" s="34">
        <v>0</v>
      </c>
      <c r="L123" s="32">
        <v>0</v>
      </c>
      <c r="M123" s="32">
        <v>665</v>
      </c>
      <c r="N123" s="32">
        <v>2653225</v>
      </c>
      <c r="O123" s="32">
        <v>0</v>
      </c>
      <c r="P123" s="32">
        <v>0</v>
      </c>
      <c r="Q123" s="32">
        <v>0</v>
      </c>
      <c r="R123" s="32">
        <v>0</v>
      </c>
      <c r="S123" s="32">
        <v>0</v>
      </c>
      <c r="T123" s="32">
        <v>0</v>
      </c>
      <c r="U123" s="32">
        <v>0</v>
      </c>
      <c r="V123" s="32">
        <v>0</v>
      </c>
      <c r="W123" s="32">
        <v>0</v>
      </c>
      <c r="X123" s="32">
        <v>0</v>
      </c>
      <c r="Y123" s="32">
        <v>0</v>
      </c>
      <c r="Z123" s="32">
        <v>0</v>
      </c>
      <c r="AA123" s="32">
        <v>0</v>
      </c>
      <c r="AB123" s="32">
        <v>0</v>
      </c>
      <c r="AC123" s="32">
        <f t="shared" si="24"/>
        <v>39798.379999999997</v>
      </c>
      <c r="AD123" s="32">
        <v>73000.56</v>
      </c>
      <c r="AE123" s="32">
        <v>0</v>
      </c>
      <c r="AF123" s="35">
        <v>2020</v>
      </c>
      <c r="AG123" s="35">
        <v>2020</v>
      </c>
      <c r="AH123" s="36">
        <v>2020</v>
      </c>
    </row>
    <row r="124" spans="1:46" ht="61.5" x14ac:dyDescent="0.85">
      <c r="A124" s="21">
        <v>1</v>
      </c>
      <c r="B124" s="70">
        <f>SUBTOTAL(103,$A$22:A124)</f>
        <v>103</v>
      </c>
      <c r="C124" s="25" t="s">
        <v>1216</v>
      </c>
      <c r="D124" s="32">
        <f t="shared" si="18"/>
        <v>2333213.5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32">
        <v>0</v>
      </c>
      <c r="K124" s="34">
        <v>0</v>
      </c>
      <c r="L124" s="32">
        <v>0</v>
      </c>
      <c r="M124" s="32">
        <v>0</v>
      </c>
      <c r="N124" s="32">
        <v>0</v>
      </c>
      <c r="O124" s="32">
        <v>0</v>
      </c>
      <c r="P124" s="32">
        <v>0</v>
      </c>
      <c r="Q124" s="32">
        <v>590</v>
      </c>
      <c r="R124" s="32">
        <v>2220900</v>
      </c>
      <c r="S124" s="32">
        <v>0</v>
      </c>
      <c r="T124" s="32">
        <v>0</v>
      </c>
      <c r="U124" s="32">
        <v>0</v>
      </c>
      <c r="V124" s="32">
        <v>0</v>
      </c>
      <c r="W124" s="32">
        <v>0</v>
      </c>
      <c r="X124" s="32">
        <v>0</v>
      </c>
      <c r="Y124" s="32">
        <v>0</v>
      </c>
      <c r="Z124" s="32">
        <v>0</v>
      </c>
      <c r="AA124" s="32">
        <v>0</v>
      </c>
      <c r="AB124" s="32">
        <v>0</v>
      </c>
      <c r="AC124" s="32">
        <f t="shared" ref="AC124:AC125" si="25">ROUND(R124*1.5%,2)</f>
        <v>33313.5</v>
      </c>
      <c r="AD124" s="32">
        <v>79000</v>
      </c>
      <c r="AE124" s="32">
        <v>0</v>
      </c>
      <c r="AF124" s="35">
        <v>2020</v>
      </c>
      <c r="AG124" s="35">
        <v>2020</v>
      </c>
      <c r="AH124" s="36">
        <v>2020</v>
      </c>
    </row>
    <row r="125" spans="1:46" ht="61.5" x14ac:dyDescent="0.85">
      <c r="A125" s="21">
        <v>1</v>
      </c>
      <c r="B125" s="70">
        <f>SUBTOTAL(103,$A$22:A125)</f>
        <v>104</v>
      </c>
      <c r="C125" s="25" t="s">
        <v>1217</v>
      </c>
      <c r="D125" s="32">
        <f t="shared" si="18"/>
        <v>2031130.01</v>
      </c>
      <c r="E125" s="32">
        <v>0</v>
      </c>
      <c r="F125" s="32">
        <v>0</v>
      </c>
      <c r="G125" s="32">
        <v>0</v>
      </c>
      <c r="H125" s="32">
        <v>0</v>
      </c>
      <c r="I125" s="32">
        <v>0</v>
      </c>
      <c r="J125" s="32">
        <v>0</v>
      </c>
      <c r="K125" s="34">
        <v>0</v>
      </c>
      <c r="L125" s="32">
        <v>0</v>
      </c>
      <c r="M125" s="32">
        <v>0</v>
      </c>
      <c r="N125" s="32">
        <v>0</v>
      </c>
      <c r="O125" s="32">
        <v>0</v>
      </c>
      <c r="P125" s="32">
        <v>0</v>
      </c>
      <c r="Q125" s="32">
        <v>450.1</v>
      </c>
      <c r="R125" s="32">
        <v>1942000.01</v>
      </c>
      <c r="S125" s="32">
        <v>0</v>
      </c>
      <c r="T125" s="32">
        <v>0</v>
      </c>
      <c r="U125" s="32">
        <v>0</v>
      </c>
      <c r="V125" s="32">
        <v>0</v>
      </c>
      <c r="W125" s="32">
        <v>0</v>
      </c>
      <c r="X125" s="32">
        <v>0</v>
      </c>
      <c r="Y125" s="32">
        <v>0</v>
      </c>
      <c r="Z125" s="32">
        <v>0</v>
      </c>
      <c r="AA125" s="32">
        <v>0</v>
      </c>
      <c r="AB125" s="32">
        <v>0</v>
      </c>
      <c r="AC125" s="32">
        <f t="shared" si="25"/>
        <v>29130</v>
      </c>
      <c r="AD125" s="32">
        <v>60000</v>
      </c>
      <c r="AE125" s="32">
        <v>0</v>
      </c>
      <c r="AF125" s="35">
        <v>2020</v>
      </c>
      <c r="AG125" s="35">
        <v>2020</v>
      </c>
      <c r="AH125" s="36">
        <v>2020</v>
      </c>
    </row>
    <row r="126" spans="1:46" ht="61.5" x14ac:dyDescent="0.85">
      <c r="B126" s="25" t="s">
        <v>806</v>
      </c>
      <c r="C126" s="110"/>
      <c r="D126" s="32">
        <f t="shared" ref="D126:AE126" si="26">SUM(D127:D160)</f>
        <v>103849651.88</v>
      </c>
      <c r="E126" s="32">
        <f t="shared" si="26"/>
        <v>486686.75</v>
      </c>
      <c r="F126" s="32">
        <f t="shared" si="26"/>
        <v>775644.82000000007</v>
      </c>
      <c r="G126" s="32">
        <f t="shared" si="26"/>
        <v>8461487.4000000004</v>
      </c>
      <c r="H126" s="32">
        <f t="shared" si="26"/>
        <v>1113347.96</v>
      </c>
      <c r="I126" s="32">
        <f t="shared" si="26"/>
        <v>9097546.0899999999</v>
      </c>
      <c r="J126" s="32">
        <f t="shared" si="26"/>
        <v>0</v>
      </c>
      <c r="K126" s="34">
        <f t="shared" si="26"/>
        <v>4</v>
      </c>
      <c r="L126" s="32">
        <f t="shared" si="26"/>
        <v>7871837.8899999997</v>
      </c>
      <c r="M126" s="32">
        <f t="shared" si="26"/>
        <v>10975.21</v>
      </c>
      <c r="N126" s="32">
        <f t="shared" si="26"/>
        <v>55357044.479999997</v>
      </c>
      <c r="O126" s="32">
        <f t="shared" si="26"/>
        <v>0</v>
      </c>
      <c r="P126" s="32">
        <f t="shared" si="26"/>
        <v>0</v>
      </c>
      <c r="Q126" s="32">
        <f t="shared" si="26"/>
        <v>6101.03</v>
      </c>
      <c r="R126" s="32">
        <f t="shared" si="26"/>
        <v>16834167.59</v>
      </c>
      <c r="S126" s="32">
        <f t="shared" si="26"/>
        <v>0</v>
      </c>
      <c r="T126" s="32">
        <f t="shared" si="26"/>
        <v>0</v>
      </c>
      <c r="U126" s="32">
        <f t="shared" si="26"/>
        <v>0</v>
      </c>
      <c r="V126" s="32">
        <f t="shared" si="26"/>
        <v>0</v>
      </c>
      <c r="W126" s="32">
        <f t="shared" si="26"/>
        <v>0</v>
      </c>
      <c r="X126" s="32">
        <f t="shared" si="26"/>
        <v>0</v>
      </c>
      <c r="Y126" s="32">
        <f t="shared" si="26"/>
        <v>0</v>
      </c>
      <c r="Z126" s="32">
        <f t="shared" si="26"/>
        <v>0</v>
      </c>
      <c r="AA126" s="32">
        <f t="shared" si="26"/>
        <v>0</v>
      </c>
      <c r="AB126" s="32">
        <f t="shared" si="26"/>
        <v>0</v>
      </c>
      <c r="AC126" s="32">
        <f t="shared" si="26"/>
        <v>1381888.9</v>
      </c>
      <c r="AD126" s="32">
        <f t="shared" si="26"/>
        <v>2350000</v>
      </c>
      <c r="AE126" s="32">
        <f t="shared" si="26"/>
        <v>120000</v>
      </c>
      <c r="AF126" s="77" t="s">
        <v>801</v>
      </c>
      <c r="AG126" s="77" t="s">
        <v>801</v>
      </c>
      <c r="AH126" s="107" t="s">
        <v>801</v>
      </c>
      <c r="AT126" s="21" t="e">
        <f t="shared" ref="AT126:AT139" si="27">VLOOKUP(C126,AW:AX,2,FALSE)</f>
        <v>#N/A</v>
      </c>
    </row>
    <row r="127" spans="1:46" ht="61.5" x14ac:dyDescent="0.85">
      <c r="A127" s="21">
        <v>1</v>
      </c>
      <c r="B127" s="70">
        <f>SUBTOTAL(103,$A$22:A127)</f>
        <v>105</v>
      </c>
      <c r="C127" s="25" t="s">
        <v>462</v>
      </c>
      <c r="D127" s="32">
        <f t="shared" ref="D127:D160" si="28">E127+F127+G127+H127+I127+J127+L127+N127+P127+R127+T127+U127+V127+W127+X127+Y127+Z127+AA127+AB127+AC127+AD127+AE127</f>
        <v>3118051.64</v>
      </c>
      <c r="E127" s="32">
        <v>0</v>
      </c>
      <c r="F127" s="32">
        <v>0</v>
      </c>
      <c r="G127" s="32">
        <v>0</v>
      </c>
      <c r="H127" s="32">
        <v>0</v>
      </c>
      <c r="I127" s="32">
        <v>0</v>
      </c>
      <c r="J127" s="32">
        <v>0</v>
      </c>
      <c r="K127" s="34">
        <v>0</v>
      </c>
      <c r="L127" s="32">
        <v>0</v>
      </c>
      <c r="M127" s="32">
        <v>563</v>
      </c>
      <c r="N127" s="32">
        <v>2924188.81</v>
      </c>
      <c r="O127" s="32">
        <v>0</v>
      </c>
      <c r="P127" s="32">
        <v>0</v>
      </c>
      <c r="Q127" s="32">
        <v>0</v>
      </c>
      <c r="R127" s="32">
        <v>0</v>
      </c>
      <c r="S127" s="32">
        <v>0</v>
      </c>
      <c r="T127" s="32">
        <v>0</v>
      </c>
      <c r="U127" s="32">
        <v>0</v>
      </c>
      <c r="V127" s="32">
        <v>0</v>
      </c>
      <c r="W127" s="32">
        <v>0</v>
      </c>
      <c r="X127" s="32">
        <v>0</v>
      </c>
      <c r="Y127" s="32">
        <v>0</v>
      </c>
      <c r="Z127" s="32">
        <v>0</v>
      </c>
      <c r="AA127" s="32">
        <v>0</v>
      </c>
      <c r="AB127" s="32">
        <v>0</v>
      </c>
      <c r="AC127" s="32">
        <f t="shared" ref="AC127:AC138" si="29">ROUND(N127*1.5%,2)</f>
        <v>43862.83</v>
      </c>
      <c r="AD127" s="32">
        <v>150000</v>
      </c>
      <c r="AE127" s="32">
        <v>0</v>
      </c>
      <c r="AF127" s="35">
        <v>2020</v>
      </c>
      <c r="AG127" s="35">
        <v>2020</v>
      </c>
      <c r="AH127" s="36">
        <v>2020</v>
      </c>
      <c r="AT127" s="21" t="e">
        <f t="shared" si="27"/>
        <v>#N/A</v>
      </c>
    </row>
    <row r="128" spans="1:46" ht="61.5" x14ac:dyDescent="0.85">
      <c r="A128" s="21">
        <v>1</v>
      </c>
      <c r="B128" s="70">
        <f>SUBTOTAL(103,$A$22:A128)</f>
        <v>106</v>
      </c>
      <c r="C128" s="25" t="s">
        <v>463</v>
      </c>
      <c r="D128" s="32">
        <f t="shared" si="28"/>
        <v>3540899.32</v>
      </c>
      <c r="E128" s="32">
        <v>0</v>
      </c>
      <c r="F128" s="32">
        <v>0</v>
      </c>
      <c r="G128" s="32">
        <v>0</v>
      </c>
      <c r="H128" s="32">
        <v>0</v>
      </c>
      <c r="I128" s="32">
        <v>0</v>
      </c>
      <c r="J128" s="32">
        <v>0</v>
      </c>
      <c r="K128" s="34">
        <v>0</v>
      </c>
      <c r="L128" s="32">
        <v>0</v>
      </c>
      <c r="M128" s="32">
        <v>639.35</v>
      </c>
      <c r="N128" s="32">
        <v>3340787.51</v>
      </c>
      <c r="O128" s="32">
        <v>0</v>
      </c>
      <c r="P128" s="32">
        <v>0</v>
      </c>
      <c r="Q128" s="32">
        <v>0</v>
      </c>
      <c r="R128" s="32">
        <v>0</v>
      </c>
      <c r="S128" s="32">
        <v>0</v>
      </c>
      <c r="T128" s="32">
        <v>0</v>
      </c>
      <c r="U128" s="32">
        <v>0</v>
      </c>
      <c r="V128" s="32">
        <v>0</v>
      </c>
      <c r="W128" s="32">
        <v>0</v>
      </c>
      <c r="X128" s="32">
        <v>0</v>
      </c>
      <c r="Y128" s="32">
        <v>0</v>
      </c>
      <c r="Z128" s="32">
        <v>0</v>
      </c>
      <c r="AA128" s="32">
        <v>0</v>
      </c>
      <c r="AB128" s="32">
        <v>0</v>
      </c>
      <c r="AC128" s="32">
        <f t="shared" si="29"/>
        <v>50111.81</v>
      </c>
      <c r="AD128" s="32">
        <v>150000</v>
      </c>
      <c r="AE128" s="32">
        <v>0</v>
      </c>
      <c r="AF128" s="35">
        <v>2020</v>
      </c>
      <c r="AG128" s="35">
        <v>2020</v>
      </c>
      <c r="AH128" s="36">
        <v>2020</v>
      </c>
      <c r="AT128" s="21" t="e">
        <f t="shared" si="27"/>
        <v>#N/A</v>
      </c>
    </row>
    <row r="129" spans="1:46" ht="61.5" x14ac:dyDescent="0.85">
      <c r="A129" s="21">
        <v>1</v>
      </c>
      <c r="B129" s="70">
        <f>SUBTOTAL(103,$A$22:A129)</f>
        <v>107</v>
      </c>
      <c r="C129" s="25" t="s">
        <v>464</v>
      </c>
      <c r="D129" s="32">
        <f t="shared" si="28"/>
        <v>3078184.83</v>
      </c>
      <c r="E129" s="32">
        <v>0</v>
      </c>
      <c r="F129" s="32">
        <v>0</v>
      </c>
      <c r="G129" s="32">
        <v>0</v>
      </c>
      <c r="H129" s="32">
        <v>0</v>
      </c>
      <c r="I129" s="32">
        <v>0</v>
      </c>
      <c r="J129" s="32">
        <v>0</v>
      </c>
      <c r="K129" s="34">
        <v>0</v>
      </c>
      <c r="L129" s="32">
        <v>0</v>
      </c>
      <c r="M129" s="32">
        <v>528.5</v>
      </c>
      <c r="N129" s="32">
        <v>2884911.16</v>
      </c>
      <c r="O129" s="32">
        <v>0</v>
      </c>
      <c r="P129" s="32">
        <v>0</v>
      </c>
      <c r="Q129" s="32">
        <v>0</v>
      </c>
      <c r="R129" s="32">
        <v>0</v>
      </c>
      <c r="S129" s="32">
        <v>0</v>
      </c>
      <c r="T129" s="32">
        <v>0</v>
      </c>
      <c r="U129" s="32">
        <v>0</v>
      </c>
      <c r="V129" s="32">
        <v>0</v>
      </c>
      <c r="W129" s="32">
        <v>0</v>
      </c>
      <c r="X129" s="32">
        <v>0</v>
      </c>
      <c r="Y129" s="32">
        <v>0</v>
      </c>
      <c r="Z129" s="32">
        <v>0</v>
      </c>
      <c r="AA129" s="32">
        <v>0</v>
      </c>
      <c r="AB129" s="32">
        <v>0</v>
      </c>
      <c r="AC129" s="32">
        <f t="shared" si="29"/>
        <v>43273.67</v>
      </c>
      <c r="AD129" s="32">
        <v>150000</v>
      </c>
      <c r="AE129" s="32">
        <v>0</v>
      </c>
      <c r="AF129" s="35">
        <v>2020</v>
      </c>
      <c r="AG129" s="35">
        <v>2020</v>
      </c>
      <c r="AH129" s="36">
        <v>2020</v>
      </c>
      <c r="AT129" s="21" t="e">
        <f t="shared" si="27"/>
        <v>#N/A</v>
      </c>
    </row>
    <row r="130" spans="1:46" ht="61.5" x14ac:dyDescent="0.85">
      <c r="A130" s="21">
        <v>1</v>
      </c>
      <c r="B130" s="70">
        <f>SUBTOTAL(103,$A$22:A130)</f>
        <v>108</v>
      </c>
      <c r="C130" s="25" t="s">
        <v>465</v>
      </c>
      <c r="D130" s="32">
        <f t="shared" si="28"/>
        <v>4950723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4">
        <v>0</v>
      </c>
      <c r="L130" s="32">
        <v>0</v>
      </c>
      <c r="M130" s="32">
        <v>850</v>
      </c>
      <c r="N130" s="32">
        <v>4729776.3499999996</v>
      </c>
      <c r="O130" s="32">
        <v>0</v>
      </c>
      <c r="P130" s="32">
        <v>0</v>
      </c>
      <c r="Q130" s="32">
        <v>0</v>
      </c>
      <c r="R130" s="32">
        <v>0</v>
      </c>
      <c r="S130" s="32">
        <v>0</v>
      </c>
      <c r="T130" s="32">
        <v>0</v>
      </c>
      <c r="U130" s="32">
        <v>0</v>
      </c>
      <c r="V130" s="32">
        <v>0</v>
      </c>
      <c r="W130" s="32">
        <v>0</v>
      </c>
      <c r="X130" s="32">
        <v>0</v>
      </c>
      <c r="Y130" s="32">
        <v>0</v>
      </c>
      <c r="Z130" s="32">
        <v>0</v>
      </c>
      <c r="AA130" s="32">
        <v>0</v>
      </c>
      <c r="AB130" s="32">
        <v>0</v>
      </c>
      <c r="AC130" s="32">
        <f t="shared" si="29"/>
        <v>70946.649999999994</v>
      </c>
      <c r="AD130" s="32">
        <v>150000</v>
      </c>
      <c r="AE130" s="32">
        <v>0</v>
      </c>
      <c r="AF130" s="35">
        <v>2020</v>
      </c>
      <c r="AG130" s="35">
        <v>2020</v>
      </c>
      <c r="AH130" s="36">
        <v>2020</v>
      </c>
      <c r="AT130" s="21" t="e">
        <f t="shared" si="27"/>
        <v>#N/A</v>
      </c>
    </row>
    <row r="131" spans="1:46" ht="61.5" x14ac:dyDescent="0.85">
      <c r="A131" s="21">
        <v>1</v>
      </c>
      <c r="B131" s="70">
        <f>SUBTOTAL(103,$A$22:A131)</f>
        <v>109</v>
      </c>
      <c r="C131" s="25" t="s">
        <v>466</v>
      </c>
      <c r="D131" s="32">
        <f t="shared" si="28"/>
        <v>3405823.46</v>
      </c>
      <c r="E131" s="32">
        <v>0</v>
      </c>
      <c r="F131" s="32">
        <v>0</v>
      </c>
      <c r="G131" s="32">
        <v>0</v>
      </c>
      <c r="H131" s="32">
        <v>0</v>
      </c>
      <c r="I131" s="32">
        <v>0</v>
      </c>
      <c r="J131" s="32">
        <v>0</v>
      </c>
      <c r="K131" s="34">
        <v>0</v>
      </c>
      <c r="L131" s="32">
        <v>0</v>
      </c>
      <c r="M131" s="32">
        <v>614.96</v>
      </c>
      <c r="N131" s="32">
        <v>3207707.84</v>
      </c>
      <c r="O131" s="32">
        <v>0</v>
      </c>
      <c r="P131" s="32">
        <v>0</v>
      </c>
      <c r="Q131" s="32">
        <v>0</v>
      </c>
      <c r="R131" s="32">
        <v>0</v>
      </c>
      <c r="S131" s="32">
        <v>0</v>
      </c>
      <c r="T131" s="32">
        <v>0</v>
      </c>
      <c r="U131" s="32">
        <v>0</v>
      </c>
      <c r="V131" s="32">
        <v>0</v>
      </c>
      <c r="W131" s="32">
        <v>0</v>
      </c>
      <c r="X131" s="32">
        <v>0</v>
      </c>
      <c r="Y131" s="32">
        <v>0</v>
      </c>
      <c r="Z131" s="32">
        <v>0</v>
      </c>
      <c r="AA131" s="32">
        <v>0</v>
      </c>
      <c r="AB131" s="32">
        <v>0</v>
      </c>
      <c r="AC131" s="32">
        <f t="shared" si="29"/>
        <v>48115.62</v>
      </c>
      <c r="AD131" s="32">
        <v>150000</v>
      </c>
      <c r="AE131" s="32">
        <v>0</v>
      </c>
      <c r="AF131" s="35">
        <v>2020</v>
      </c>
      <c r="AG131" s="35">
        <v>2020</v>
      </c>
      <c r="AH131" s="36">
        <v>2020</v>
      </c>
      <c r="AT131" s="21" t="e">
        <f t="shared" si="27"/>
        <v>#N/A</v>
      </c>
    </row>
    <row r="132" spans="1:46" ht="61.5" x14ac:dyDescent="0.85">
      <c r="A132" s="21">
        <v>1</v>
      </c>
      <c r="B132" s="70">
        <f>SUBTOTAL(103,$A$22:A132)</f>
        <v>110</v>
      </c>
      <c r="C132" s="25" t="s">
        <v>467</v>
      </c>
      <c r="D132" s="32">
        <f t="shared" si="28"/>
        <v>3270908.17</v>
      </c>
      <c r="E132" s="32">
        <v>0</v>
      </c>
      <c r="F132" s="32">
        <v>0</v>
      </c>
      <c r="G132" s="32">
        <v>0</v>
      </c>
      <c r="H132" s="32">
        <v>0</v>
      </c>
      <c r="I132" s="32">
        <v>0</v>
      </c>
      <c r="J132" s="32">
        <v>0</v>
      </c>
      <c r="K132" s="34">
        <v>0</v>
      </c>
      <c r="L132" s="32">
        <v>0</v>
      </c>
      <c r="M132" s="32">
        <v>590.6</v>
      </c>
      <c r="N132" s="32">
        <v>3074786.37</v>
      </c>
      <c r="O132" s="32">
        <v>0</v>
      </c>
      <c r="P132" s="32">
        <v>0</v>
      </c>
      <c r="Q132" s="32">
        <v>0</v>
      </c>
      <c r="R132" s="32">
        <v>0</v>
      </c>
      <c r="S132" s="32">
        <v>0</v>
      </c>
      <c r="T132" s="32">
        <v>0</v>
      </c>
      <c r="U132" s="32">
        <v>0</v>
      </c>
      <c r="V132" s="32">
        <v>0</v>
      </c>
      <c r="W132" s="32">
        <v>0</v>
      </c>
      <c r="X132" s="32">
        <v>0</v>
      </c>
      <c r="Y132" s="32">
        <v>0</v>
      </c>
      <c r="Z132" s="32">
        <v>0</v>
      </c>
      <c r="AA132" s="32">
        <v>0</v>
      </c>
      <c r="AB132" s="32">
        <v>0</v>
      </c>
      <c r="AC132" s="32">
        <f t="shared" si="29"/>
        <v>46121.8</v>
      </c>
      <c r="AD132" s="32">
        <v>150000</v>
      </c>
      <c r="AE132" s="32">
        <v>0</v>
      </c>
      <c r="AF132" s="35">
        <v>2020</v>
      </c>
      <c r="AG132" s="35">
        <v>2020</v>
      </c>
      <c r="AH132" s="36">
        <v>2020</v>
      </c>
      <c r="AT132" s="21" t="e">
        <f t="shared" si="27"/>
        <v>#N/A</v>
      </c>
    </row>
    <row r="133" spans="1:46" ht="61.5" x14ac:dyDescent="0.85">
      <c r="A133" s="21">
        <v>1</v>
      </c>
      <c r="B133" s="70">
        <f>SUBTOTAL(103,$A$22:A133)</f>
        <v>111</v>
      </c>
      <c r="C133" s="25" t="s">
        <v>468</v>
      </c>
      <c r="D133" s="32">
        <f t="shared" si="28"/>
        <v>3319896.5999999996</v>
      </c>
      <c r="E133" s="32">
        <v>0</v>
      </c>
      <c r="F133" s="32">
        <v>0</v>
      </c>
      <c r="G133" s="32">
        <v>0</v>
      </c>
      <c r="H133" s="32">
        <v>0</v>
      </c>
      <c r="I133" s="32">
        <v>0</v>
      </c>
      <c r="J133" s="32">
        <v>0</v>
      </c>
      <c r="K133" s="34">
        <v>0</v>
      </c>
      <c r="L133" s="32">
        <v>0</v>
      </c>
      <c r="M133" s="32">
        <v>570</v>
      </c>
      <c r="N133" s="32">
        <v>3123050.84</v>
      </c>
      <c r="O133" s="32">
        <v>0</v>
      </c>
      <c r="P133" s="32">
        <v>0</v>
      </c>
      <c r="Q133" s="32">
        <v>0</v>
      </c>
      <c r="R133" s="32">
        <v>0</v>
      </c>
      <c r="S133" s="32">
        <v>0</v>
      </c>
      <c r="T133" s="32">
        <v>0</v>
      </c>
      <c r="U133" s="32">
        <v>0</v>
      </c>
      <c r="V133" s="32">
        <v>0</v>
      </c>
      <c r="W133" s="32">
        <v>0</v>
      </c>
      <c r="X133" s="32">
        <v>0</v>
      </c>
      <c r="Y133" s="32">
        <v>0</v>
      </c>
      <c r="Z133" s="32">
        <v>0</v>
      </c>
      <c r="AA133" s="32">
        <v>0</v>
      </c>
      <c r="AB133" s="32">
        <v>0</v>
      </c>
      <c r="AC133" s="32">
        <f t="shared" si="29"/>
        <v>46845.760000000002</v>
      </c>
      <c r="AD133" s="32">
        <v>150000</v>
      </c>
      <c r="AE133" s="32">
        <v>0</v>
      </c>
      <c r="AF133" s="35">
        <v>2020</v>
      </c>
      <c r="AG133" s="35">
        <v>2020</v>
      </c>
      <c r="AH133" s="36">
        <v>2020</v>
      </c>
      <c r="AT133" s="21" t="e">
        <f t="shared" si="27"/>
        <v>#N/A</v>
      </c>
    </row>
    <row r="134" spans="1:46" ht="61.5" x14ac:dyDescent="0.85">
      <c r="A134" s="21">
        <v>1</v>
      </c>
      <c r="B134" s="70">
        <f>SUBTOTAL(103,$A$22:A134)</f>
        <v>112</v>
      </c>
      <c r="C134" s="25" t="s">
        <v>469</v>
      </c>
      <c r="D134" s="32">
        <f t="shared" si="28"/>
        <v>4114942.04</v>
      </c>
      <c r="E134" s="32">
        <v>0</v>
      </c>
      <c r="F134" s="32">
        <v>0</v>
      </c>
      <c r="G134" s="32">
        <v>0</v>
      </c>
      <c r="H134" s="32">
        <v>0</v>
      </c>
      <c r="I134" s="32">
        <v>0</v>
      </c>
      <c r="J134" s="32">
        <v>0</v>
      </c>
      <c r="K134" s="34">
        <v>0</v>
      </c>
      <c r="L134" s="32">
        <v>0</v>
      </c>
      <c r="M134" s="32">
        <v>743</v>
      </c>
      <c r="N134" s="32">
        <v>3906346.84</v>
      </c>
      <c r="O134" s="32">
        <v>0</v>
      </c>
      <c r="P134" s="32">
        <v>0</v>
      </c>
      <c r="Q134" s="32">
        <v>0</v>
      </c>
      <c r="R134" s="32">
        <v>0</v>
      </c>
      <c r="S134" s="32">
        <v>0</v>
      </c>
      <c r="T134" s="32">
        <v>0</v>
      </c>
      <c r="U134" s="32">
        <v>0</v>
      </c>
      <c r="V134" s="32">
        <v>0</v>
      </c>
      <c r="W134" s="32">
        <v>0</v>
      </c>
      <c r="X134" s="32">
        <v>0</v>
      </c>
      <c r="Y134" s="32">
        <v>0</v>
      </c>
      <c r="Z134" s="32">
        <v>0</v>
      </c>
      <c r="AA134" s="32">
        <v>0</v>
      </c>
      <c r="AB134" s="32">
        <v>0</v>
      </c>
      <c r="AC134" s="32">
        <f t="shared" si="29"/>
        <v>58595.199999999997</v>
      </c>
      <c r="AD134" s="32">
        <v>150000</v>
      </c>
      <c r="AE134" s="32">
        <v>0</v>
      </c>
      <c r="AF134" s="35">
        <v>2020</v>
      </c>
      <c r="AG134" s="35">
        <v>2020</v>
      </c>
      <c r="AH134" s="36">
        <v>2020</v>
      </c>
      <c r="AT134" s="21" t="e">
        <f t="shared" si="27"/>
        <v>#N/A</v>
      </c>
    </row>
    <row r="135" spans="1:46" ht="61.5" x14ac:dyDescent="0.85">
      <c r="A135" s="21">
        <v>1</v>
      </c>
      <c r="B135" s="70">
        <f>SUBTOTAL(103,$A$22:A135)</f>
        <v>113</v>
      </c>
      <c r="C135" s="25" t="s">
        <v>470</v>
      </c>
      <c r="D135" s="32">
        <f t="shared" si="28"/>
        <v>2525455.6799999997</v>
      </c>
      <c r="E135" s="32">
        <v>0</v>
      </c>
      <c r="F135" s="32">
        <v>0</v>
      </c>
      <c r="G135" s="32">
        <v>0</v>
      </c>
      <c r="H135" s="32">
        <v>0</v>
      </c>
      <c r="I135" s="32">
        <v>0</v>
      </c>
      <c r="J135" s="32">
        <v>0</v>
      </c>
      <c r="K135" s="34">
        <v>0</v>
      </c>
      <c r="L135" s="32">
        <v>0</v>
      </c>
      <c r="M135" s="32">
        <v>456</v>
      </c>
      <c r="N135" s="32">
        <v>2369907.0699999998</v>
      </c>
      <c r="O135" s="32">
        <v>0</v>
      </c>
      <c r="P135" s="32">
        <v>0</v>
      </c>
      <c r="Q135" s="32">
        <v>0</v>
      </c>
      <c r="R135" s="32">
        <v>0</v>
      </c>
      <c r="S135" s="32">
        <v>0</v>
      </c>
      <c r="T135" s="32">
        <v>0</v>
      </c>
      <c r="U135" s="32">
        <v>0</v>
      </c>
      <c r="V135" s="32">
        <v>0</v>
      </c>
      <c r="W135" s="32">
        <v>0</v>
      </c>
      <c r="X135" s="32">
        <v>0</v>
      </c>
      <c r="Y135" s="32">
        <v>0</v>
      </c>
      <c r="Z135" s="32">
        <v>0</v>
      </c>
      <c r="AA135" s="32">
        <v>0</v>
      </c>
      <c r="AB135" s="32">
        <v>0</v>
      </c>
      <c r="AC135" s="32">
        <f t="shared" si="29"/>
        <v>35548.61</v>
      </c>
      <c r="AD135" s="32">
        <v>120000</v>
      </c>
      <c r="AE135" s="32">
        <v>0</v>
      </c>
      <c r="AF135" s="35">
        <v>2020</v>
      </c>
      <c r="AG135" s="35">
        <v>2020</v>
      </c>
      <c r="AH135" s="36">
        <v>2020</v>
      </c>
      <c r="AT135" s="21" t="e">
        <f t="shared" si="27"/>
        <v>#N/A</v>
      </c>
    </row>
    <row r="136" spans="1:46" ht="61.5" x14ac:dyDescent="0.85">
      <c r="A136" s="21">
        <v>1</v>
      </c>
      <c r="B136" s="70">
        <f>SUBTOTAL(103,$A$22:A136)</f>
        <v>114</v>
      </c>
      <c r="C136" s="25" t="s">
        <v>471</v>
      </c>
      <c r="D136" s="32">
        <f t="shared" si="28"/>
        <v>4863357.3</v>
      </c>
      <c r="E136" s="32">
        <v>0</v>
      </c>
      <c r="F136" s="32">
        <v>0</v>
      </c>
      <c r="G136" s="32">
        <v>0</v>
      </c>
      <c r="H136" s="32">
        <v>0</v>
      </c>
      <c r="I136" s="32">
        <v>0</v>
      </c>
      <c r="J136" s="32">
        <v>0</v>
      </c>
      <c r="K136" s="34">
        <v>0</v>
      </c>
      <c r="L136" s="32">
        <v>0</v>
      </c>
      <c r="M136" s="32">
        <v>835</v>
      </c>
      <c r="N136" s="32">
        <v>4643701.7699999996</v>
      </c>
      <c r="O136" s="32">
        <v>0</v>
      </c>
      <c r="P136" s="32">
        <v>0</v>
      </c>
      <c r="Q136" s="32">
        <v>0</v>
      </c>
      <c r="R136" s="32">
        <v>0</v>
      </c>
      <c r="S136" s="32">
        <v>0</v>
      </c>
      <c r="T136" s="32">
        <v>0</v>
      </c>
      <c r="U136" s="32">
        <v>0</v>
      </c>
      <c r="V136" s="32">
        <v>0</v>
      </c>
      <c r="W136" s="32">
        <v>0</v>
      </c>
      <c r="X136" s="32">
        <v>0</v>
      </c>
      <c r="Y136" s="32">
        <v>0</v>
      </c>
      <c r="Z136" s="32">
        <v>0</v>
      </c>
      <c r="AA136" s="32">
        <v>0</v>
      </c>
      <c r="AB136" s="32">
        <v>0</v>
      </c>
      <c r="AC136" s="32">
        <f t="shared" si="29"/>
        <v>69655.53</v>
      </c>
      <c r="AD136" s="32">
        <v>150000</v>
      </c>
      <c r="AE136" s="32">
        <v>0</v>
      </c>
      <c r="AF136" s="35">
        <v>2020</v>
      </c>
      <c r="AG136" s="35">
        <v>2020</v>
      </c>
      <c r="AH136" s="36">
        <v>2020</v>
      </c>
      <c r="AT136" s="21" t="e">
        <f t="shared" si="27"/>
        <v>#N/A</v>
      </c>
    </row>
    <row r="137" spans="1:46" ht="61.5" x14ac:dyDescent="0.85">
      <c r="A137" s="21">
        <v>1</v>
      </c>
      <c r="B137" s="70">
        <f>SUBTOTAL(103,$A$22:A137)</f>
        <v>115</v>
      </c>
      <c r="C137" s="25" t="s">
        <v>472</v>
      </c>
      <c r="D137" s="32">
        <f t="shared" si="28"/>
        <v>2525455.6799999997</v>
      </c>
      <c r="E137" s="32">
        <v>0</v>
      </c>
      <c r="F137" s="32">
        <v>0</v>
      </c>
      <c r="G137" s="32">
        <v>0</v>
      </c>
      <c r="H137" s="32">
        <v>0</v>
      </c>
      <c r="I137" s="32">
        <v>0</v>
      </c>
      <c r="J137" s="32">
        <v>0</v>
      </c>
      <c r="K137" s="34">
        <v>0</v>
      </c>
      <c r="L137" s="32">
        <v>0</v>
      </c>
      <c r="M137" s="32">
        <v>456</v>
      </c>
      <c r="N137" s="32">
        <v>2369907.0699999998</v>
      </c>
      <c r="O137" s="32">
        <v>0</v>
      </c>
      <c r="P137" s="32">
        <v>0</v>
      </c>
      <c r="Q137" s="32">
        <v>0</v>
      </c>
      <c r="R137" s="32">
        <v>0</v>
      </c>
      <c r="S137" s="32">
        <v>0</v>
      </c>
      <c r="T137" s="32">
        <v>0</v>
      </c>
      <c r="U137" s="32">
        <v>0</v>
      </c>
      <c r="V137" s="32">
        <v>0</v>
      </c>
      <c r="W137" s="32">
        <v>0</v>
      </c>
      <c r="X137" s="32">
        <v>0</v>
      </c>
      <c r="Y137" s="32">
        <v>0</v>
      </c>
      <c r="Z137" s="32">
        <v>0</v>
      </c>
      <c r="AA137" s="32">
        <v>0</v>
      </c>
      <c r="AB137" s="32">
        <v>0</v>
      </c>
      <c r="AC137" s="32">
        <f t="shared" si="29"/>
        <v>35548.61</v>
      </c>
      <c r="AD137" s="32">
        <v>120000</v>
      </c>
      <c r="AE137" s="32">
        <v>0</v>
      </c>
      <c r="AF137" s="35">
        <v>2020</v>
      </c>
      <c r="AG137" s="35">
        <v>2020</v>
      </c>
      <c r="AH137" s="36">
        <v>2020</v>
      </c>
      <c r="AT137" s="21" t="e">
        <f t="shared" si="27"/>
        <v>#N/A</v>
      </c>
    </row>
    <row r="138" spans="1:46" ht="61.5" x14ac:dyDescent="0.85">
      <c r="A138" s="21">
        <v>1</v>
      </c>
      <c r="B138" s="70">
        <f>SUBTOTAL(103,$A$22:A138)</f>
        <v>116</v>
      </c>
      <c r="C138" s="25" t="s">
        <v>473</v>
      </c>
      <c r="D138" s="32">
        <f t="shared" si="28"/>
        <v>4556829.16</v>
      </c>
      <c r="E138" s="32">
        <v>0</v>
      </c>
      <c r="F138" s="32">
        <v>0</v>
      </c>
      <c r="G138" s="32">
        <v>0</v>
      </c>
      <c r="H138" s="32">
        <v>0</v>
      </c>
      <c r="I138" s="32">
        <v>0</v>
      </c>
      <c r="J138" s="32">
        <v>0</v>
      </c>
      <c r="K138" s="34">
        <v>0</v>
      </c>
      <c r="L138" s="32">
        <v>0</v>
      </c>
      <c r="M138" s="32">
        <v>898</v>
      </c>
      <c r="N138" s="32">
        <v>4341703.6100000003</v>
      </c>
      <c r="O138" s="32">
        <v>0</v>
      </c>
      <c r="P138" s="32">
        <v>0</v>
      </c>
      <c r="Q138" s="32">
        <v>0</v>
      </c>
      <c r="R138" s="32">
        <v>0</v>
      </c>
      <c r="S138" s="32">
        <v>0</v>
      </c>
      <c r="T138" s="32">
        <v>0</v>
      </c>
      <c r="U138" s="32">
        <v>0</v>
      </c>
      <c r="V138" s="32">
        <v>0</v>
      </c>
      <c r="W138" s="32">
        <v>0</v>
      </c>
      <c r="X138" s="32">
        <v>0</v>
      </c>
      <c r="Y138" s="32">
        <v>0</v>
      </c>
      <c r="Z138" s="32">
        <v>0</v>
      </c>
      <c r="AA138" s="32">
        <v>0</v>
      </c>
      <c r="AB138" s="32">
        <v>0</v>
      </c>
      <c r="AC138" s="32">
        <f t="shared" si="29"/>
        <v>65125.55</v>
      </c>
      <c r="AD138" s="32">
        <v>150000</v>
      </c>
      <c r="AE138" s="32">
        <v>0</v>
      </c>
      <c r="AF138" s="35">
        <v>2020</v>
      </c>
      <c r="AG138" s="35">
        <v>2020</v>
      </c>
      <c r="AH138" s="36">
        <v>2020</v>
      </c>
      <c r="AT138" s="21" t="e">
        <f t="shared" si="27"/>
        <v>#N/A</v>
      </c>
    </row>
    <row r="139" spans="1:46" ht="61.5" x14ac:dyDescent="0.85">
      <c r="A139" s="21">
        <v>1</v>
      </c>
      <c r="B139" s="70">
        <f>SUBTOTAL(103,$A$22:A139)</f>
        <v>117</v>
      </c>
      <c r="C139" s="25" t="s">
        <v>474</v>
      </c>
      <c r="D139" s="32">
        <f t="shared" si="28"/>
        <v>1777787.8900000001</v>
      </c>
      <c r="E139" s="32">
        <v>0</v>
      </c>
      <c r="F139" s="32">
        <v>0</v>
      </c>
      <c r="G139" s="32">
        <v>0</v>
      </c>
      <c r="H139" s="32">
        <v>0</v>
      </c>
      <c r="I139" s="32">
        <v>0</v>
      </c>
      <c r="J139" s="32">
        <v>0</v>
      </c>
      <c r="K139" s="34">
        <v>0</v>
      </c>
      <c r="L139" s="32">
        <v>0</v>
      </c>
      <c r="M139" s="32">
        <v>0</v>
      </c>
      <c r="N139" s="32">
        <v>0</v>
      </c>
      <c r="O139" s="32">
        <v>0</v>
      </c>
      <c r="P139" s="32">
        <v>0</v>
      </c>
      <c r="Q139" s="32">
        <v>475</v>
      </c>
      <c r="R139" s="32">
        <v>1623436.34</v>
      </c>
      <c r="S139" s="32">
        <v>0</v>
      </c>
      <c r="T139" s="32">
        <v>0</v>
      </c>
      <c r="U139" s="32">
        <v>0</v>
      </c>
      <c r="V139" s="32">
        <v>0</v>
      </c>
      <c r="W139" s="32">
        <v>0</v>
      </c>
      <c r="X139" s="32">
        <v>0</v>
      </c>
      <c r="Y139" s="32">
        <v>0</v>
      </c>
      <c r="Z139" s="32">
        <v>0</v>
      </c>
      <c r="AA139" s="32">
        <v>0</v>
      </c>
      <c r="AB139" s="32">
        <v>0</v>
      </c>
      <c r="AC139" s="32">
        <f>ROUND(R139*1.5%,2)</f>
        <v>24351.55</v>
      </c>
      <c r="AD139" s="32">
        <v>130000</v>
      </c>
      <c r="AE139" s="32">
        <v>0</v>
      </c>
      <c r="AF139" s="35">
        <v>2020</v>
      </c>
      <c r="AG139" s="35">
        <v>2020</v>
      </c>
      <c r="AH139" s="36">
        <v>2020</v>
      </c>
      <c r="AT139" s="21" t="e">
        <f t="shared" si="27"/>
        <v>#N/A</v>
      </c>
    </row>
    <row r="140" spans="1:46" ht="61.5" x14ac:dyDescent="0.85">
      <c r="A140" s="21">
        <v>1</v>
      </c>
      <c r="B140" s="70">
        <f>SUBTOTAL(103,$A$22:A140)</f>
        <v>118</v>
      </c>
      <c r="C140" s="25" t="s">
        <v>1218</v>
      </c>
      <c r="D140" s="32">
        <f t="shared" si="28"/>
        <v>4164727.9000000004</v>
      </c>
      <c r="E140" s="32">
        <v>0</v>
      </c>
      <c r="F140" s="32">
        <v>428412.76</v>
      </c>
      <c r="G140" s="32">
        <v>1730473.3699999999</v>
      </c>
      <c r="H140" s="32">
        <v>0</v>
      </c>
      <c r="I140" s="32">
        <v>1944294.07</v>
      </c>
      <c r="J140" s="32">
        <v>0</v>
      </c>
      <c r="K140" s="34">
        <v>0</v>
      </c>
      <c r="L140" s="32">
        <v>0</v>
      </c>
      <c r="M140" s="32">
        <v>0</v>
      </c>
      <c r="N140" s="32">
        <v>0</v>
      </c>
      <c r="O140" s="32">
        <v>0</v>
      </c>
      <c r="P140" s="32">
        <v>0</v>
      </c>
      <c r="Q140" s="32">
        <v>0</v>
      </c>
      <c r="R140" s="32">
        <v>0</v>
      </c>
      <c r="S140" s="32">
        <v>0</v>
      </c>
      <c r="T140" s="32">
        <v>0</v>
      </c>
      <c r="U140" s="32">
        <v>0</v>
      </c>
      <c r="V140" s="32">
        <v>0</v>
      </c>
      <c r="W140" s="32">
        <v>0</v>
      </c>
      <c r="X140" s="32">
        <v>0</v>
      </c>
      <c r="Y140" s="32">
        <v>0</v>
      </c>
      <c r="Z140" s="32">
        <v>0</v>
      </c>
      <c r="AA140" s="32">
        <v>0</v>
      </c>
      <c r="AB140" s="32">
        <v>0</v>
      </c>
      <c r="AC140" s="32">
        <f t="shared" ref="AC140:AC141" si="30">ROUND((E140+F140+G140+H140+I140+J140)*1.5%,2)</f>
        <v>61547.7</v>
      </c>
      <c r="AD140" s="32">
        <v>0</v>
      </c>
      <c r="AE140" s="32">
        <v>0</v>
      </c>
      <c r="AF140" s="35" t="s">
        <v>275</v>
      </c>
      <c r="AG140" s="35">
        <v>2020</v>
      </c>
      <c r="AH140" s="36">
        <v>2020</v>
      </c>
    </row>
    <row r="141" spans="1:46" ht="61.5" x14ac:dyDescent="0.85">
      <c r="A141" s="21">
        <v>1</v>
      </c>
      <c r="B141" s="70">
        <f>SUBTOTAL(103,$A$22:A141)</f>
        <v>119</v>
      </c>
      <c r="C141" s="25" t="s">
        <v>1219</v>
      </c>
      <c r="D141" s="32">
        <f t="shared" si="28"/>
        <v>4191599.92</v>
      </c>
      <c r="E141" s="32">
        <v>0</v>
      </c>
      <c r="F141" s="32">
        <v>0</v>
      </c>
      <c r="G141" s="32">
        <v>1899196.59</v>
      </c>
      <c r="H141" s="32">
        <v>0</v>
      </c>
      <c r="I141" s="32">
        <v>2230458.5</v>
      </c>
      <c r="J141" s="32">
        <v>0</v>
      </c>
      <c r="K141" s="34">
        <v>0</v>
      </c>
      <c r="L141" s="32">
        <v>0</v>
      </c>
      <c r="M141" s="32">
        <v>0</v>
      </c>
      <c r="N141" s="32">
        <v>0</v>
      </c>
      <c r="O141" s="32">
        <v>0</v>
      </c>
      <c r="P141" s="32">
        <v>0</v>
      </c>
      <c r="Q141" s="32">
        <v>0</v>
      </c>
      <c r="R141" s="32">
        <v>0</v>
      </c>
      <c r="S141" s="32">
        <v>0</v>
      </c>
      <c r="T141" s="32">
        <v>0</v>
      </c>
      <c r="U141" s="32">
        <v>0</v>
      </c>
      <c r="V141" s="32">
        <v>0</v>
      </c>
      <c r="W141" s="32">
        <v>0</v>
      </c>
      <c r="X141" s="32">
        <v>0</v>
      </c>
      <c r="Y141" s="32">
        <v>0</v>
      </c>
      <c r="Z141" s="32">
        <v>0</v>
      </c>
      <c r="AA141" s="32">
        <v>0</v>
      </c>
      <c r="AB141" s="32">
        <v>0</v>
      </c>
      <c r="AC141" s="32">
        <f t="shared" si="30"/>
        <v>61944.83</v>
      </c>
      <c r="AD141" s="32">
        <v>0</v>
      </c>
      <c r="AE141" s="32">
        <v>0</v>
      </c>
      <c r="AF141" s="35" t="s">
        <v>275</v>
      </c>
      <c r="AG141" s="35">
        <v>2020</v>
      </c>
      <c r="AH141" s="36">
        <v>2020</v>
      </c>
    </row>
    <row r="142" spans="1:46" ht="61.5" x14ac:dyDescent="0.85">
      <c r="A142" s="21">
        <v>1</v>
      </c>
      <c r="B142" s="70">
        <f>SUBTOTAL(103,$A$22:A142)</f>
        <v>120</v>
      </c>
      <c r="C142" s="25" t="s">
        <v>1220</v>
      </c>
      <c r="D142" s="32">
        <f t="shared" si="28"/>
        <v>1317384.27</v>
      </c>
      <c r="E142" s="32">
        <v>0</v>
      </c>
      <c r="F142" s="32">
        <v>0</v>
      </c>
      <c r="G142" s="32">
        <v>0</v>
      </c>
      <c r="H142" s="32">
        <v>0</v>
      </c>
      <c r="I142" s="32">
        <v>0</v>
      </c>
      <c r="J142" s="32">
        <v>0</v>
      </c>
      <c r="K142" s="34">
        <v>0</v>
      </c>
      <c r="L142" s="32">
        <v>0</v>
      </c>
      <c r="M142" s="32">
        <v>0</v>
      </c>
      <c r="N142" s="32">
        <v>0</v>
      </c>
      <c r="O142" s="32">
        <v>0</v>
      </c>
      <c r="P142" s="32">
        <v>0</v>
      </c>
      <c r="Q142" s="32">
        <v>525.70000000000005</v>
      </c>
      <c r="R142" s="32">
        <v>1297915.54</v>
      </c>
      <c r="S142" s="32">
        <v>0</v>
      </c>
      <c r="T142" s="32">
        <v>0</v>
      </c>
      <c r="U142" s="32">
        <v>0</v>
      </c>
      <c r="V142" s="32">
        <v>0</v>
      </c>
      <c r="W142" s="32">
        <v>0</v>
      </c>
      <c r="X142" s="32">
        <v>0</v>
      </c>
      <c r="Y142" s="32">
        <v>0</v>
      </c>
      <c r="Z142" s="32">
        <v>0</v>
      </c>
      <c r="AA142" s="32">
        <v>0</v>
      </c>
      <c r="AB142" s="32">
        <v>0</v>
      </c>
      <c r="AC142" s="32">
        <f t="shared" ref="AC142:AC144" si="31">ROUND(R142*1.5%,2)</f>
        <v>19468.73</v>
      </c>
      <c r="AD142" s="32">
        <v>0</v>
      </c>
      <c r="AE142" s="32">
        <v>0</v>
      </c>
      <c r="AF142" s="35" t="s">
        <v>275</v>
      </c>
      <c r="AG142" s="35">
        <v>2020</v>
      </c>
      <c r="AH142" s="36">
        <v>2020</v>
      </c>
    </row>
    <row r="143" spans="1:46" ht="61.5" x14ac:dyDescent="0.85">
      <c r="A143" s="21">
        <v>1</v>
      </c>
      <c r="B143" s="70">
        <f>SUBTOTAL(103,$A$22:A143)</f>
        <v>121</v>
      </c>
      <c r="C143" s="25" t="s">
        <v>1221</v>
      </c>
      <c r="D143" s="32">
        <f t="shared" si="28"/>
        <v>1666784.6600000001</v>
      </c>
      <c r="E143" s="32">
        <v>0</v>
      </c>
      <c r="F143" s="32">
        <v>0</v>
      </c>
      <c r="G143" s="32">
        <v>0</v>
      </c>
      <c r="H143" s="32">
        <v>0</v>
      </c>
      <c r="I143" s="32">
        <v>0</v>
      </c>
      <c r="J143" s="32">
        <v>0</v>
      </c>
      <c r="K143" s="34">
        <v>0</v>
      </c>
      <c r="L143" s="32">
        <v>0</v>
      </c>
      <c r="M143" s="32">
        <v>0</v>
      </c>
      <c r="N143" s="32">
        <v>0</v>
      </c>
      <c r="O143" s="32">
        <v>0</v>
      </c>
      <c r="P143" s="32">
        <v>0</v>
      </c>
      <c r="Q143" s="32">
        <v>741.84</v>
      </c>
      <c r="R143" s="32">
        <v>1642152.37</v>
      </c>
      <c r="S143" s="32">
        <v>0</v>
      </c>
      <c r="T143" s="32">
        <v>0</v>
      </c>
      <c r="U143" s="32">
        <v>0</v>
      </c>
      <c r="V143" s="32">
        <v>0</v>
      </c>
      <c r="W143" s="32">
        <v>0</v>
      </c>
      <c r="X143" s="32">
        <v>0</v>
      </c>
      <c r="Y143" s="32">
        <v>0</v>
      </c>
      <c r="Z143" s="32">
        <v>0</v>
      </c>
      <c r="AA143" s="32">
        <v>0</v>
      </c>
      <c r="AB143" s="32">
        <v>0</v>
      </c>
      <c r="AC143" s="32">
        <f t="shared" si="31"/>
        <v>24632.29</v>
      </c>
      <c r="AD143" s="32">
        <v>0</v>
      </c>
      <c r="AE143" s="32">
        <v>0</v>
      </c>
      <c r="AF143" s="35" t="s">
        <v>275</v>
      </c>
      <c r="AG143" s="35">
        <v>2020</v>
      </c>
      <c r="AH143" s="36">
        <v>2020</v>
      </c>
    </row>
    <row r="144" spans="1:46" ht="61.5" x14ac:dyDescent="0.85">
      <c r="A144" s="21">
        <v>1</v>
      </c>
      <c r="B144" s="70">
        <f>SUBTOTAL(103,$A$22:A144)</f>
        <v>122</v>
      </c>
      <c r="C144" s="25" t="s">
        <v>1222</v>
      </c>
      <c r="D144" s="32">
        <f t="shared" si="28"/>
        <v>2074334.5899999999</v>
      </c>
      <c r="E144" s="32">
        <v>0</v>
      </c>
      <c r="F144" s="32">
        <v>0</v>
      </c>
      <c r="G144" s="32">
        <v>0</v>
      </c>
      <c r="H144" s="32">
        <v>0</v>
      </c>
      <c r="I144" s="32">
        <v>0</v>
      </c>
      <c r="J144" s="32">
        <v>0</v>
      </c>
      <c r="K144" s="34">
        <v>0</v>
      </c>
      <c r="L144" s="32">
        <v>0</v>
      </c>
      <c r="M144" s="32">
        <v>0</v>
      </c>
      <c r="N144" s="32">
        <v>0</v>
      </c>
      <c r="O144" s="32">
        <v>0</v>
      </c>
      <c r="P144" s="32">
        <v>0</v>
      </c>
      <c r="Q144" s="32">
        <v>905.1</v>
      </c>
      <c r="R144" s="32">
        <v>2043679.4</v>
      </c>
      <c r="S144" s="32">
        <v>0</v>
      </c>
      <c r="T144" s="32">
        <v>0</v>
      </c>
      <c r="U144" s="32">
        <v>0</v>
      </c>
      <c r="V144" s="32">
        <v>0</v>
      </c>
      <c r="W144" s="32">
        <v>0</v>
      </c>
      <c r="X144" s="32">
        <v>0</v>
      </c>
      <c r="Y144" s="32">
        <v>0</v>
      </c>
      <c r="Z144" s="32">
        <v>0</v>
      </c>
      <c r="AA144" s="32">
        <v>0</v>
      </c>
      <c r="AB144" s="32">
        <v>0</v>
      </c>
      <c r="AC144" s="32">
        <f t="shared" si="31"/>
        <v>30655.19</v>
      </c>
      <c r="AD144" s="32">
        <v>0</v>
      </c>
      <c r="AE144" s="32">
        <v>0</v>
      </c>
      <c r="AF144" s="35" t="s">
        <v>275</v>
      </c>
      <c r="AG144" s="35">
        <v>2020</v>
      </c>
      <c r="AH144" s="36">
        <v>2020</v>
      </c>
    </row>
    <row r="145" spans="1:34" ht="61.5" x14ac:dyDescent="0.85">
      <c r="A145" s="21">
        <v>1</v>
      </c>
      <c r="B145" s="70">
        <f>SUBTOTAL(103,$A$22:A145)</f>
        <v>123</v>
      </c>
      <c r="C145" s="25" t="s">
        <v>1223</v>
      </c>
      <c r="D145" s="32">
        <f t="shared" si="28"/>
        <v>154761.32999999999</v>
      </c>
      <c r="E145" s="32">
        <v>0</v>
      </c>
      <c r="F145" s="32">
        <v>0</v>
      </c>
      <c r="G145" s="32">
        <v>0</v>
      </c>
      <c r="H145" s="32">
        <v>0</v>
      </c>
      <c r="I145" s="32">
        <v>152474.22</v>
      </c>
      <c r="J145" s="32">
        <v>0</v>
      </c>
      <c r="K145" s="34">
        <v>0</v>
      </c>
      <c r="L145" s="32">
        <v>0</v>
      </c>
      <c r="M145" s="32">
        <v>0</v>
      </c>
      <c r="N145" s="32">
        <v>0</v>
      </c>
      <c r="O145" s="32">
        <v>0</v>
      </c>
      <c r="P145" s="32">
        <v>0</v>
      </c>
      <c r="Q145" s="32">
        <v>0</v>
      </c>
      <c r="R145" s="32">
        <v>0</v>
      </c>
      <c r="S145" s="32">
        <v>0</v>
      </c>
      <c r="T145" s="32">
        <v>0</v>
      </c>
      <c r="U145" s="32">
        <v>0</v>
      </c>
      <c r="V145" s="32">
        <v>0</v>
      </c>
      <c r="W145" s="32">
        <v>0</v>
      </c>
      <c r="X145" s="32">
        <v>0</v>
      </c>
      <c r="Y145" s="32">
        <v>0</v>
      </c>
      <c r="Z145" s="32">
        <v>0</v>
      </c>
      <c r="AA145" s="32">
        <v>0</v>
      </c>
      <c r="AB145" s="32">
        <v>0</v>
      </c>
      <c r="AC145" s="32">
        <f t="shared" ref="AC145" si="32">ROUND((E145+F145+G145+H145+I145+J145)*1.5%,2)</f>
        <v>2287.11</v>
      </c>
      <c r="AD145" s="32">
        <v>0</v>
      </c>
      <c r="AE145" s="32">
        <v>0</v>
      </c>
      <c r="AF145" s="35" t="s">
        <v>275</v>
      </c>
      <c r="AG145" s="35">
        <v>2020</v>
      </c>
      <c r="AH145" s="36">
        <v>2020</v>
      </c>
    </row>
    <row r="146" spans="1:34" ht="61.5" x14ac:dyDescent="0.85">
      <c r="A146" s="21">
        <v>1</v>
      </c>
      <c r="B146" s="70">
        <f>SUBTOTAL(103,$A$22:A146)</f>
        <v>124</v>
      </c>
      <c r="C146" s="25" t="s">
        <v>1224</v>
      </c>
      <c r="D146" s="32">
        <f t="shared" si="28"/>
        <v>1595279.4000000001</v>
      </c>
      <c r="E146" s="32">
        <v>0</v>
      </c>
      <c r="F146" s="32">
        <v>0</v>
      </c>
      <c r="G146" s="32">
        <v>0</v>
      </c>
      <c r="H146" s="32">
        <v>0</v>
      </c>
      <c r="I146" s="32">
        <v>0</v>
      </c>
      <c r="J146" s="32">
        <v>0</v>
      </c>
      <c r="K146" s="34">
        <v>0</v>
      </c>
      <c r="L146" s="32">
        <v>0</v>
      </c>
      <c r="M146" s="32">
        <v>0</v>
      </c>
      <c r="N146" s="32">
        <v>0</v>
      </c>
      <c r="O146" s="32">
        <v>0</v>
      </c>
      <c r="P146" s="32">
        <v>0</v>
      </c>
      <c r="Q146" s="32">
        <v>531.4</v>
      </c>
      <c r="R146" s="32">
        <v>1571703.84</v>
      </c>
      <c r="S146" s="32">
        <v>0</v>
      </c>
      <c r="T146" s="32">
        <v>0</v>
      </c>
      <c r="U146" s="32">
        <v>0</v>
      </c>
      <c r="V146" s="32">
        <v>0</v>
      </c>
      <c r="W146" s="32">
        <v>0</v>
      </c>
      <c r="X146" s="32">
        <v>0</v>
      </c>
      <c r="Y146" s="32">
        <v>0</v>
      </c>
      <c r="Z146" s="32">
        <v>0</v>
      </c>
      <c r="AA146" s="32">
        <v>0</v>
      </c>
      <c r="AB146" s="32">
        <v>0</v>
      </c>
      <c r="AC146" s="32">
        <f t="shared" ref="AC146:AC147" si="33">ROUND(R146*1.5%,2)</f>
        <v>23575.56</v>
      </c>
      <c r="AD146" s="32">
        <v>0</v>
      </c>
      <c r="AE146" s="32">
        <v>0</v>
      </c>
      <c r="AF146" s="35" t="s">
        <v>275</v>
      </c>
      <c r="AG146" s="35">
        <v>2020</v>
      </c>
      <c r="AH146" s="36">
        <v>2020</v>
      </c>
    </row>
    <row r="147" spans="1:34" ht="61.5" x14ac:dyDescent="0.85">
      <c r="A147" s="21">
        <v>1</v>
      </c>
      <c r="B147" s="70">
        <f>SUBTOTAL(103,$A$22:A147)</f>
        <v>125</v>
      </c>
      <c r="C147" s="25" t="s">
        <v>1225</v>
      </c>
      <c r="D147" s="32">
        <f t="shared" si="28"/>
        <v>1453072.52</v>
      </c>
      <c r="E147" s="32">
        <v>0</v>
      </c>
      <c r="F147" s="32">
        <v>0</v>
      </c>
      <c r="G147" s="32">
        <v>0</v>
      </c>
      <c r="H147" s="32">
        <v>0</v>
      </c>
      <c r="I147" s="32">
        <v>0</v>
      </c>
      <c r="J147" s="32">
        <v>0</v>
      </c>
      <c r="K147" s="34">
        <v>0</v>
      </c>
      <c r="L147" s="32">
        <v>0</v>
      </c>
      <c r="M147" s="32">
        <v>0</v>
      </c>
      <c r="N147" s="32">
        <v>0</v>
      </c>
      <c r="O147" s="32">
        <v>0</v>
      </c>
      <c r="P147" s="32">
        <v>0</v>
      </c>
      <c r="Q147" s="32">
        <v>490</v>
      </c>
      <c r="R147" s="32">
        <v>1431598.54</v>
      </c>
      <c r="S147" s="32">
        <v>0</v>
      </c>
      <c r="T147" s="32">
        <v>0</v>
      </c>
      <c r="U147" s="32">
        <v>0</v>
      </c>
      <c r="V147" s="32">
        <v>0</v>
      </c>
      <c r="W147" s="32">
        <v>0</v>
      </c>
      <c r="X147" s="32">
        <v>0</v>
      </c>
      <c r="Y147" s="32">
        <v>0</v>
      </c>
      <c r="Z147" s="32">
        <v>0</v>
      </c>
      <c r="AA147" s="32">
        <v>0</v>
      </c>
      <c r="AB147" s="32">
        <v>0</v>
      </c>
      <c r="AC147" s="32">
        <f t="shared" si="33"/>
        <v>21473.98</v>
      </c>
      <c r="AD147" s="32">
        <v>0</v>
      </c>
      <c r="AE147" s="32">
        <v>0</v>
      </c>
      <c r="AF147" s="35" t="s">
        <v>275</v>
      </c>
      <c r="AG147" s="35">
        <v>2020</v>
      </c>
      <c r="AH147" s="36">
        <v>2020</v>
      </c>
    </row>
    <row r="148" spans="1:34" ht="61.5" x14ac:dyDescent="0.85">
      <c r="A148" s="21">
        <v>1</v>
      </c>
      <c r="B148" s="70">
        <f>SUBTOTAL(103,$A$22:A148)</f>
        <v>126</v>
      </c>
      <c r="C148" s="25" t="s">
        <v>1226</v>
      </c>
      <c r="D148" s="32">
        <f t="shared" si="28"/>
        <v>741685.94</v>
      </c>
      <c r="E148" s="32">
        <v>93824.95</v>
      </c>
      <c r="F148" s="32">
        <v>0</v>
      </c>
      <c r="G148" s="32">
        <v>324128.62</v>
      </c>
      <c r="H148" s="32">
        <v>134041.13</v>
      </c>
      <c r="I148" s="32">
        <v>178730.36</v>
      </c>
      <c r="J148" s="32">
        <v>0</v>
      </c>
      <c r="K148" s="34">
        <v>0</v>
      </c>
      <c r="L148" s="32">
        <v>0</v>
      </c>
      <c r="M148" s="32">
        <v>0</v>
      </c>
      <c r="N148" s="32">
        <v>0</v>
      </c>
      <c r="O148" s="32">
        <v>0</v>
      </c>
      <c r="P148" s="32">
        <v>0</v>
      </c>
      <c r="Q148" s="32">
        <v>0</v>
      </c>
      <c r="R148" s="32">
        <v>0</v>
      </c>
      <c r="S148" s="32">
        <v>0</v>
      </c>
      <c r="T148" s="32">
        <v>0</v>
      </c>
      <c r="U148" s="32">
        <v>0</v>
      </c>
      <c r="V148" s="32">
        <v>0</v>
      </c>
      <c r="W148" s="32">
        <v>0</v>
      </c>
      <c r="X148" s="32">
        <v>0</v>
      </c>
      <c r="Y148" s="32">
        <v>0</v>
      </c>
      <c r="Z148" s="32">
        <v>0</v>
      </c>
      <c r="AA148" s="32">
        <v>0</v>
      </c>
      <c r="AB148" s="32">
        <v>0</v>
      </c>
      <c r="AC148" s="32">
        <f t="shared" ref="AC148" si="34">ROUND((E148+F148+G148+H148+I148+J148)*1.5%,2)</f>
        <v>10960.88</v>
      </c>
      <c r="AD148" s="32">
        <v>0</v>
      </c>
      <c r="AE148" s="32">
        <v>0</v>
      </c>
      <c r="AF148" s="35" t="s">
        <v>275</v>
      </c>
      <c r="AG148" s="35">
        <v>2020</v>
      </c>
      <c r="AH148" s="36">
        <v>2020</v>
      </c>
    </row>
    <row r="149" spans="1:34" ht="61.5" x14ac:dyDescent="0.85">
      <c r="A149" s="21">
        <v>1</v>
      </c>
      <c r="B149" s="70">
        <f>SUBTOTAL(103,$A$22:A149)</f>
        <v>127</v>
      </c>
      <c r="C149" s="25" t="s">
        <v>1227</v>
      </c>
      <c r="D149" s="32">
        <f t="shared" si="28"/>
        <v>2205149.9699999997</v>
      </c>
      <c r="E149" s="32">
        <v>0</v>
      </c>
      <c r="F149" s="32">
        <v>0</v>
      </c>
      <c r="G149" s="32">
        <v>0</v>
      </c>
      <c r="H149" s="32">
        <v>0</v>
      </c>
      <c r="I149" s="32">
        <v>0</v>
      </c>
      <c r="J149" s="32">
        <v>0</v>
      </c>
      <c r="K149" s="34">
        <v>0</v>
      </c>
      <c r="L149" s="32">
        <v>0</v>
      </c>
      <c r="M149" s="32">
        <v>0</v>
      </c>
      <c r="N149" s="32">
        <v>0</v>
      </c>
      <c r="O149" s="32">
        <v>0</v>
      </c>
      <c r="P149" s="32">
        <v>0</v>
      </c>
      <c r="Q149" s="32">
        <v>868.72</v>
      </c>
      <c r="R149" s="32">
        <v>2172561.5499999998</v>
      </c>
      <c r="S149" s="32">
        <v>0</v>
      </c>
      <c r="T149" s="32">
        <v>0</v>
      </c>
      <c r="U149" s="32">
        <v>0</v>
      </c>
      <c r="V149" s="32">
        <v>0</v>
      </c>
      <c r="W149" s="32">
        <v>0</v>
      </c>
      <c r="X149" s="32">
        <v>0</v>
      </c>
      <c r="Y149" s="32">
        <v>0</v>
      </c>
      <c r="Z149" s="32">
        <v>0</v>
      </c>
      <c r="AA149" s="32">
        <v>0</v>
      </c>
      <c r="AB149" s="32">
        <v>0</v>
      </c>
      <c r="AC149" s="32">
        <f t="shared" ref="AC149:AC151" si="35">ROUND(R149*1.5%,2)</f>
        <v>32588.42</v>
      </c>
      <c r="AD149" s="32">
        <v>0</v>
      </c>
      <c r="AE149" s="32">
        <v>0</v>
      </c>
      <c r="AF149" s="35" t="s">
        <v>275</v>
      </c>
      <c r="AG149" s="35">
        <v>2020</v>
      </c>
      <c r="AH149" s="36">
        <v>2020</v>
      </c>
    </row>
    <row r="150" spans="1:34" ht="61.5" x14ac:dyDescent="0.85">
      <c r="A150" s="21">
        <v>1</v>
      </c>
      <c r="B150" s="70">
        <f>SUBTOTAL(103,$A$22:A150)</f>
        <v>128</v>
      </c>
      <c r="C150" s="25" t="s">
        <v>1228</v>
      </c>
      <c r="D150" s="32">
        <f t="shared" si="28"/>
        <v>1508346.1500000001</v>
      </c>
      <c r="E150" s="32">
        <v>0</v>
      </c>
      <c r="F150" s="32">
        <v>0</v>
      </c>
      <c r="G150" s="32">
        <v>0</v>
      </c>
      <c r="H150" s="32">
        <v>0</v>
      </c>
      <c r="I150" s="32">
        <v>0</v>
      </c>
      <c r="J150" s="32">
        <v>0</v>
      </c>
      <c r="K150" s="34">
        <v>0</v>
      </c>
      <c r="L150" s="32">
        <v>0</v>
      </c>
      <c r="M150" s="32">
        <v>0</v>
      </c>
      <c r="N150" s="32">
        <v>0</v>
      </c>
      <c r="O150" s="32">
        <v>0</v>
      </c>
      <c r="P150" s="32">
        <v>0</v>
      </c>
      <c r="Q150" s="32">
        <v>573.12</v>
      </c>
      <c r="R150" s="32">
        <v>1486055.32</v>
      </c>
      <c r="S150" s="32">
        <v>0</v>
      </c>
      <c r="T150" s="32">
        <v>0</v>
      </c>
      <c r="U150" s="32">
        <v>0</v>
      </c>
      <c r="V150" s="32">
        <v>0</v>
      </c>
      <c r="W150" s="32">
        <v>0</v>
      </c>
      <c r="X150" s="32">
        <v>0</v>
      </c>
      <c r="Y150" s="32">
        <v>0</v>
      </c>
      <c r="Z150" s="32">
        <v>0</v>
      </c>
      <c r="AA150" s="32">
        <v>0</v>
      </c>
      <c r="AB150" s="32">
        <v>0</v>
      </c>
      <c r="AC150" s="32">
        <f t="shared" si="35"/>
        <v>22290.83</v>
      </c>
      <c r="AD150" s="32">
        <v>0</v>
      </c>
      <c r="AE150" s="32">
        <v>0</v>
      </c>
      <c r="AF150" s="35" t="s">
        <v>275</v>
      </c>
      <c r="AG150" s="35">
        <v>2020</v>
      </c>
      <c r="AH150" s="36">
        <v>2020</v>
      </c>
    </row>
    <row r="151" spans="1:34" ht="61.5" x14ac:dyDescent="0.85">
      <c r="A151" s="21">
        <v>1</v>
      </c>
      <c r="B151" s="70">
        <f>SUBTOTAL(103,$A$22:A151)</f>
        <v>129</v>
      </c>
      <c r="C151" s="25" t="s">
        <v>1229</v>
      </c>
      <c r="D151" s="32">
        <f t="shared" si="28"/>
        <v>1971369.43</v>
      </c>
      <c r="E151" s="32">
        <v>0</v>
      </c>
      <c r="F151" s="32">
        <v>0</v>
      </c>
      <c r="G151" s="32">
        <v>0</v>
      </c>
      <c r="H151" s="32">
        <v>0</v>
      </c>
      <c r="I151" s="32">
        <v>0</v>
      </c>
      <c r="J151" s="32">
        <v>0</v>
      </c>
      <c r="K151" s="34">
        <v>0</v>
      </c>
      <c r="L151" s="32">
        <v>0</v>
      </c>
      <c r="M151" s="32">
        <v>0</v>
      </c>
      <c r="N151" s="32">
        <v>0</v>
      </c>
      <c r="O151" s="32">
        <v>0</v>
      </c>
      <c r="P151" s="32">
        <v>0</v>
      </c>
      <c r="Q151" s="32">
        <v>397</v>
      </c>
      <c r="R151" s="32">
        <v>1824009.29</v>
      </c>
      <c r="S151" s="32">
        <v>0</v>
      </c>
      <c r="T151" s="32">
        <v>0</v>
      </c>
      <c r="U151" s="32">
        <v>0</v>
      </c>
      <c r="V151" s="32">
        <v>0</v>
      </c>
      <c r="W151" s="32">
        <v>0</v>
      </c>
      <c r="X151" s="32">
        <v>0</v>
      </c>
      <c r="Y151" s="32">
        <v>0</v>
      </c>
      <c r="Z151" s="32">
        <v>0</v>
      </c>
      <c r="AA151" s="32">
        <v>0</v>
      </c>
      <c r="AB151" s="32">
        <v>0</v>
      </c>
      <c r="AC151" s="32">
        <f t="shared" si="35"/>
        <v>27360.14</v>
      </c>
      <c r="AD151" s="32">
        <v>0</v>
      </c>
      <c r="AE151" s="32">
        <v>120000</v>
      </c>
      <c r="AF151" s="35" t="s">
        <v>275</v>
      </c>
      <c r="AG151" s="35">
        <v>2020</v>
      </c>
      <c r="AH151" s="36">
        <v>2020</v>
      </c>
    </row>
    <row r="152" spans="1:34" ht="61.5" x14ac:dyDescent="0.85">
      <c r="A152" s="21">
        <v>1</v>
      </c>
      <c r="B152" s="70">
        <f>SUBTOTAL(103,$A$22:A152)</f>
        <v>130</v>
      </c>
      <c r="C152" s="25" t="s">
        <v>1230</v>
      </c>
      <c r="D152" s="32">
        <f t="shared" si="28"/>
        <v>7871837.8899999997</v>
      </c>
      <c r="E152" s="32">
        <v>0</v>
      </c>
      <c r="F152" s="32">
        <v>0</v>
      </c>
      <c r="G152" s="32">
        <v>0</v>
      </c>
      <c r="H152" s="32">
        <v>0</v>
      </c>
      <c r="I152" s="32">
        <v>0</v>
      </c>
      <c r="J152" s="32">
        <v>0</v>
      </c>
      <c r="K152" s="34">
        <v>4</v>
      </c>
      <c r="L152" s="32">
        <v>7871837.8899999997</v>
      </c>
      <c r="M152" s="32">
        <v>0</v>
      </c>
      <c r="N152" s="32">
        <v>0</v>
      </c>
      <c r="O152" s="32">
        <v>0</v>
      </c>
      <c r="P152" s="32">
        <v>0</v>
      </c>
      <c r="Q152" s="32">
        <v>0</v>
      </c>
      <c r="R152" s="32">
        <v>0</v>
      </c>
      <c r="S152" s="32">
        <v>0</v>
      </c>
      <c r="T152" s="32">
        <v>0</v>
      </c>
      <c r="U152" s="32">
        <v>0</v>
      </c>
      <c r="V152" s="32">
        <v>0</v>
      </c>
      <c r="W152" s="32">
        <v>0</v>
      </c>
      <c r="X152" s="32">
        <v>0</v>
      </c>
      <c r="Y152" s="32">
        <v>0</v>
      </c>
      <c r="Z152" s="32">
        <v>0</v>
      </c>
      <c r="AA152" s="32">
        <v>0</v>
      </c>
      <c r="AB152" s="32">
        <v>0</v>
      </c>
      <c r="AC152" s="32">
        <v>0</v>
      </c>
      <c r="AD152" s="32">
        <v>0</v>
      </c>
      <c r="AE152" s="32">
        <v>0</v>
      </c>
      <c r="AF152" s="35" t="s">
        <v>275</v>
      </c>
      <c r="AG152" s="35">
        <v>2020</v>
      </c>
      <c r="AH152" s="36" t="s">
        <v>275</v>
      </c>
    </row>
    <row r="153" spans="1:34" ht="61.5" x14ac:dyDescent="0.85">
      <c r="A153" s="21">
        <v>1</v>
      </c>
      <c r="B153" s="70">
        <f>SUBTOTAL(103,$A$22:A153)</f>
        <v>131</v>
      </c>
      <c r="C153" s="25" t="s">
        <v>1231</v>
      </c>
      <c r="D153" s="32">
        <f t="shared" si="28"/>
        <v>3010382.16</v>
      </c>
      <c r="E153" s="32">
        <v>188641.32</v>
      </c>
      <c r="F153" s="32">
        <v>0</v>
      </c>
      <c r="G153" s="32">
        <v>1349896.11</v>
      </c>
      <c r="H153" s="32">
        <v>178663.47</v>
      </c>
      <c r="I153" s="32">
        <v>1248692.8500000001</v>
      </c>
      <c r="J153" s="32">
        <v>0</v>
      </c>
      <c r="K153" s="34">
        <v>0</v>
      </c>
      <c r="L153" s="32">
        <v>0</v>
      </c>
      <c r="M153" s="32">
        <v>0</v>
      </c>
      <c r="N153" s="32">
        <v>0</v>
      </c>
      <c r="O153" s="32">
        <v>0</v>
      </c>
      <c r="P153" s="32">
        <v>0</v>
      </c>
      <c r="Q153" s="32">
        <v>0</v>
      </c>
      <c r="R153" s="32">
        <v>0</v>
      </c>
      <c r="S153" s="32">
        <v>0</v>
      </c>
      <c r="T153" s="32">
        <v>0</v>
      </c>
      <c r="U153" s="32">
        <v>0</v>
      </c>
      <c r="V153" s="32">
        <v>0</v>
      </c>
      <c r="W153" s="32">
        <v>0</v>
      </c>
      <c r="X153" s="32">
        <v>0</v>
      </c>
      <c r="Y153" s="32">
        <v>0</v>
      </c>
      <c r="Z153" s="32">
        <v>0</v>
      </c>
      <c r="AA153" s="32">
        <v>0</v>
      </c>
      <c r="AB153" s="32">
        <v>0</v>
      </c>
      <c r="AC153" s="32">
        <f t="shared" ref="AC153:AC155" si="36">ROUND((E153+F153+G153+H153+I153+J153)*1.5%,2)</f>
        <v>44488.41</v>
      </c>
      <c r="AD153" s="32">
        <v>0</v>
      </c>
      <c r="AE153" s="32">
        <v>0</v>
      </c>
      <c r="AF153" s="35" t="s">
        <v>275</v>
      </c>
      <c r="AG153" s="35">
        <v>2020</v>
      </c>
      <c r="AH153" s="36">
        <v>2020</v>
      </c>
    </row>
    <row r="154" spans="1:34" ht="61.5" x14ac:dyDescent="0.85">
      <c r="A154" s="21">
        <v>1</v>
      </c>
      <c r="B154" s="70">
        <f>SUBTOTAL(103,$A$22:A154)</f>
        <v>132</v>
      </c>
      <c r="C154" s="25" t="s">
        <v>1232</v>
      </c>
      <c r="D154" s="32">
        <f t="shared" si="28"/>
        <v>2901759.67</v>
      </c>
      <c r="E154" s="32">
        <v>204220.48</v>
      </c>
      <c r="F154" s="32">
        <v>347232.06</v>
      </c>
      <c r="G154" s="32">
        <v>968662.29</v>
      </c>
      <c r="H154" s="32">
        <v>340067.7</v>
      </c>
      <c r="I154" s="32">
        <v>998693.99</v>
      </c>
      <c r="J154" s="32">
        <v>0</v>
      </c>
      <c r="K154" s="34">
        <v>0</v>
      </c>
      <c r="L154" s="32">
        <v>0</v>
      </c>
      <c r="M154" s="32">
        <v>0</v>
      </c>
      <c r="N154" s="32">
        <v>0</v>
      </c>
      <c r="O154" s="32">
        <v>0</v>
      </c>
      <c r="P154" s="32">
        <v>0</v>
      </c>
      <c r="Q154" s="32">
        <v>0</v>
      </c>
      <c r="R154" s="32">
        <v>0</v>
      </c>
      <c r="S154" s="32">
        <v>0</v>
      </c>
      <c r="T154" s="32">
        <v>0</v>
      </c>
      <c r="U154" s="32">
        <v>0</v>
      </c>
      <c r="V154" s="32">
        <v>0</v>
      </c>
      <c r="W154" s="32">
        <v>0</v>
      </c>
      <c r="X154" s="32">
        <v>0</v>
      </c>
      <c r="Y154" s="32">
        <v>0</v>
      </c>
      <c r="Z154" s="32">
        <v>0</v>
      </c>
      <c r="AA154" s="32">
        <v>0</v>
      </c>
      <c r="AB154" s="32">
        <v>0</v>
      </c>
      <c r="AC154" s="32">
        <f t="shared" si="36"/>
        <v>42883.15</v>
      </c>
      <c r="AD154" s="32">
        <v>0</v>
      </c>
      <c r="AE154" s="32">
        <v>0</v>
      </c>
      <c r="AF154" s="35" t="s">
        <v>275</v>
      </c>
      <c r="AG154" s="35">
        <v>2020</v>
      </c>
      <c r="AH154" s="36">
        <v>2020</v>
      </c>
    </row>
    <row r="155" spans="1:34" ht="61.5" x14ac:dyDescent="0.85">
      <c r="A155" s="21">
        <v>1</v>
      </c>
      <c r="B155" s="70">
        <f>SUBTOTAL(103,$A$22:A155)</f>
        <v>133</v>
      </c>
      <c r="C155" s="25" t="s">
        <v>1233</v>
      </c>
      <c r="D155" s="32">
        <f t="shared" si="28"/>
        <v>5068816.8</v>
      </c>
      <c r="E155" s="32">
        <v>0</v>
      </c>
      <c r="F155" s="32">
        <v>0</v>
      </c>
      <c r="G155" s="32">
        <v>2189130.42</v>
      </c>
      <c r="H155" s="32">
        <v>460575.66</v>
      </c>
      <c r="I155" s="32">
        <v>2344202.1</v>
      </c>
      <c r="J155" s="32">
        <v>0</v>
      </c>
      <c r="K155" s="34">
        <v>0</v>
      </c>
      <c r="L155" s="32">
        <v>0</v>
      </c>
      <c r="M155" s="32">
        <v>0</v>
      </c>
      <c r="N155" s="32">
        <v>0</v>
      </c>
      <c r="O155" s="32">
        <v>0</v>
      </c>
      <c r="P155" s="32">
        <v>0</v>
      </c>
      <c r="Q155" s="32">
        <v>0</v>
      </c>
      <c r="R155" s="32">
        <v>0</v>
      </c>
      <c r="S155" s="32">
        <v>0</v>
      </c>
      <c r="T155" s="32">
        <v>0</v>
      </c>
      <c r="U155" s="32">
        <v>0</v>
      </c>
      <c r="V155" s="32">
        <v>0</v>
      </c>
      <c r="W155" s="32">
        <v>0</v>
      </c>
      <c r="X155" s="32">
        <v>0</v>
      </c>
      <c r="Y155" s="32">
        <v>0</v>
      </c>
      <c r="Z155" s="32">
        <v>0</v>
      </c>
      <c r="AA155" s="32">
        <v>0</v>
      </c>
      <c r="AB155" s="32">
        <v>0</v>
      </c>
      <c r="AC155" s="32">
        <f t="shared" si="36"/>
        <v>74908.62</v>
      </c>
      <c r="AD155" s="32">
        <v>0</v>
      </c>
      <c r="AE155" s="32">
        <v>0</v>
      </c>
      <c r="AF155" s="35" t="s">
        <v>275</v>
      </c>
      <c r="AG155" s="35">
        <v>2020</v>
      </c>
      <c r="AH155" s="36">
        <v>2020</v>
      </c>
    </row>
    <row r="156" spans="1:34" ht="61.5" x14ac:dyDescent="0.85">
      <c r="A156" s="21">
        <v>1</v>
      </c>
      <c r="B156" s="70">
        <f>SUBTOTAL(103,$A$22:A156)</f>
        <v>134</v>
      </c>
      <c r="C156" s="25" t="s">
        <v>1234</v>
      </c>
      <c r="D156" s="32">
        <f t="shared" si="28"/>
        <v>1151567.52</v>
      </c>
      <c r="E156" s="32">
        <v>0</v>
      </c>
      <c r="F156" s="32">
        <v>0</v>
      </c>
      <c r="G156" s="32">
        <v>0</v>
      </c>
      <c r="H156" s="32">
        <v>0</v>
      </c>
      <c r="I156" s="32">
        <v>0</v>
      </c>
      <c r="J156" s="32">
        <v>0</v>
      </c>
      <c r="K156" s="34">
        <v>0</v>
      </c>
      <c r="L156" s="32">
        <v>0</v>
      </c>
      <c r="M156" s="32">
        <v>230</v>
      </c>
      <c r="N156" s="32">
        <v>1134549.28</v>
      </c>
      <c r="O156" s="32">
        <v>0</v>
      </c>
      <c r="P156" s="32">
        <v>0</v>
      </c>
      <c r="Q156" s="32">
        <v>0</v>
      </c>
      <c r="R156" s="32">
        <v>0</v>
      </c>
      <c r="S156" s="32">
        <v>0</v>
      </c>
      <c r="T156" s="32">
        <v>0</v>
      </c>
      <c r="U156" s="32">
        <v>0</v>
      </c>
      <c r="V156" s="32">
        <v>0</v>
      </c>
      <c r="W156" s="32">
        <v>0</v>
      </c>
      <c r="X156" s="32">
        <v>0</v>
      </c>
      <c r="Y156" s="32">
        <v>0</v>
      </c>
      <c r="Z156" s="32">
        <v>0</v>
      </c>
      <c r="AA156" s="32">
        <v>0</v>
      </c>
      <c r="AB156" s="32">
        <v>0</v>
      </c>
      <c r="AC156" s="32">
        <f t="shared" ref="AC156:AC157" si="37">ROUND(N156*1.5%,2)</f>
        <v>17018.240000000002</v>
      </c>
      <c r="AD156" s="32">
        <v>0</v>
      </c>
      <c r="AE156" s="32">
        <v>0</v>
      </c>
      <c r="AF156" s="35" t="s">
        <v>275</v>
      </c>
      <c r="AG156" s="35">
        <v>2020</v>
      </c>
      <c r="AH156" s="36">
        <v>2020</v>
      </c>
    </row>
    <row r="157" spans="1:34" ht="61.5" x14ac:dyDescent="0.85">
      <c r="A157" s="21">
        <v>1</v>
      </c>
      <c r="B157" s="70">
        <f>SUBTOTAL(103,$A$22:A157)</f>
        <v>135</v>
      </c>
      <c r="C157" s="25" t="s">
        <v>1235</v>
      </c>
      <c r="D157" s="32">
        <f t="shared" si="28"/>
        <v>3562559.92</v>
      </c>
      <c r="E157" s="32">
        <v>0</v>
      </c>
      <c r="F157" s="32">
        <v>0</v>
      </c>
      <c r="G157" s="32">
        <v>0</v>
      </c>
      <c r="H157" s="32">
        <v>0</v>
      </c>
      <c r="I157" s="32">
        <v>0</v>
      </c>
      <c r="J157" s="32">
        <v>0</v>
      </c>
      <c r="K157" s="34">
        <v>0</v>
      </c>
      <c r="L157" s="32">
        <v>0</v>
      </c>
      <c r="M157" s="32">
        <v>676</v>
      </c>
      <c r="N157" s="32">
        <v>3411389.08</v>
      </c>
      <c r="O157" s="32">
        <v>0</v>
      </c>
      <c r="P157" s="32">
        <v>0</v>
      </c>
      <c r="Q157" s="32">
        <v>0</v>
      </c>
      <c r="R157" s="32">
        <v>0</v>
      </c>
      <c r="S157" s="32">
        <v>0</v>
      </c>
      <c r="T157" s="32">
        <v>0</v>
      </c>
      <c r="U157" s="32">
        <v>0</v>
      </c>
      <c r="V157" s="32">
        <v>0</v>
      </c>
      <c r="W157" s="32">
        <v>0</v>
      </c>
      <c r="X157" s="32">
        <v>0</v>
      </c>
      <c r="Y157" s="32">
        <v>0</v>
      </c>
      <c r="Z157" s="32">
        <v>0</v>
      </c>
      <c r="AA157" s="32">
        <v>0</v>
      </c>
      <c r="AB157" s="32">
        <v>0</v>
      </c>
      <c r="AC157" s="32">
        <f t="shared" si="37"/>
        <v>51170.84</v>
      </c>
      <c r="AD157" s="32">
        <v>100000</v>
      </c>
      <c r="AE157" s="32">
        <v>0</v>
      </c>
      <c r="AF157" s="35">
        <v>2020</v>
      </c>
      <c r="AG157" s="35">
        <v>2020</v>
      </c>
      <c r="AH157" s="36">
        <v>2020</v>
      </c>
    </row>
    <row r="158" spans="1:34" ht="61.5" x14ac:dyDescent="0.85">
      <c r="A158" s="21">
        <v>1</v>
      </c>
      <c r="B158" s="70">
        <f>SUBTOTAL(103,$A$22:A158)</f>
        <v>136</v>
      </c>
      <c r="C158" s="25" t="s">
        <v>1381</v>
      </c>
      <c r="D158" s="32">
        <f t="shared" si="28"/>
        <v>6915057.8700000001</v>
      </c>
      <c r="E158" s="32">
        <v>0</v>
      </c>
      <c r="F158" s="32">
        <v>0</v>
      </c>
      <c r="G158" s="32">
        <v>0</v>
      </c>
      <c r="H158" s="32">
        <v>0</v>
      </c>
      <c r="I158" s="32">
        <v>0</v>
      </c>
      <c r="J158" s="32">
        <v>0</v>
      </c>
      <c r="K158" s="34">
        <v>0</v>
      </c>
      <c r="L158" s="32">
        <v>0</v>
      </c>
      <c r="M158" s="32">
        <v>1605.8</v>
      </c>
      <c r="N158" s="32">
        <v>6665081.6500000004</v>
      </c>
      <c r="O158" s="32">
        <v>0</v>
      </c>
      <c r="P158" s="32">
        <v>0</v>
      </c>
      <c r="Q158" s="32">
        <v>0</v>
      </c>
      <c r="R158" s="32">
        <v>0</v>
      </c>
      <c r="S158" s="32">
        <v>0</v>
      </c>
      <c r="T158" s="32">
        <v>0</v>
      </c>
      <c r="U158" s="32">
        <v>0</v>
      </c>
      <c r="V158" s="32">
        <v>0</v>
      </c>
      <c r="W158" s="32">
        <v>0</v>
      </c>
      <c r="X158" s="32">
        <v>0</v>
      </c>
      <c r="Y158" s="32">
        <v>0</v>
      </c>
      <c r="Z158" s="32">
        <v>0</v>
      </c>
      <c r="AA158" s="32">
        <v>0</v>
      </c>
      <c r="AB158" s="32">
        <v>0</v>
      </c>
      <c r="AC158" s="32">
        <f>ROUND(N158*1.5%,2)</f>
        <v>99976.22</v>
      </c>
      <c r="AD158" s="32">
        <v>150000</v>
      </c>
      <c r="AE158" s="32">
        <v>0</v>
      </c>
      <c r="AF158" s="35">
        <v>2020</v>
      </c>
      <c r="AG158" s="35">
        <v>2020</v>
      </c>
      <c r="AH158" s="36">
        <v>2020</v>
      </c>
    </row>
    <row r="159" spans="1:34" ht="61.5" x14ac:dyDescent="0.85">
      <c r="A159" s="21">
        <v>1</v>
      </c>
      <c r="B159" s="70">
        <f>SUBTOTAL(103,$A$22:A159)</f>
        <v>137</v>
      </c>
      <c r="C159" s="25" t="s">
        <v>483</v>
      </c>
      <c r="D159" s="32">
        <f t="shared" si="28"/>
        <v>3397687.97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4">
        <v>0</v>
      </c>
      <c r="L159" s="32">
        <v>0</v>
      </c>
      <c r="M159" s="32">
        <v>719</v>
      </c>
      <c r="N159" s="32">
        <f>3767437.77-538188.54</f>
        <v>3229249.23</v>
      </c>
      <c r="O159" s="32">
        <v>0</v>
      </c>
      <c r="P159" s="32">
        <v>0</v>
      </c>
      <c r="Q159" s="32">
        <v>0</v>
      </c>
      <c r="R159" s="32">
        <v>0</v>
      </c>
      <c r="S159" s="32">
        <v>0</v>
      </c>
      <c r="T159" s="32">
        <v>0</v>
      </c>
      <c r="U159" s="32">
        <v>0</v>
      </c>
      <c r="V159" s="32">
        <v>0</v>
      </c>
      <c r="W159" s="32">
        <v>0</v>
      </c>
      <c r="X159" s="32">
        <v>0</v>
      </c>
      <c r="Y159" s="32">
        <v>0</v>
      </c>
      <c r="Z159" s="32">
        <v>0</v>
      </c>
      <c r="AA159" s="32">
        <v>0</v>
      </c>
      <c r="AB159" s="32">
        <v>0</v>
      </c>
      <c r="AC159" s="32">
        <f>ROUND(N159*1.5%,2)</f>
        <v>48438.74</v>
      </c>
      <c r="AD159" s="32">
        <v>120000</v>
      </c>
      <c r="AE159" s="32">
        <v>0</v>
      </c>
      <c r="AF159" s="35">
        <v>2020</v>
      </c>
      <c r="AG159" s="35">
        <v>2020</v>
      </c>
      <c r="AH159" s="36">
        <v>2020</v>
      </c>
    </row>
    <row r="160" spans="1:34" ht="61.5" x14ac:dyDescent="0.85">
      <c r="A160" s="21">
        <v>1</v>
      </c>
      <c r="B160" s="70">
        <f>SUBTOTAL(103,$A$22:A160)</f>
        <v>138</v>
      </c>
      <c r="C160" s="25" t="s">
        <v>1382</v>
      </c>
      <c r="D160" s="32">
        <f t="shared" si="28"/>
        <v>1877171.23</v>
      </c>
      <c r="E160" s="32">
        <v>0</v>
      </c>
      <c r="F160" s="32">
        <v>0</v>
      </c>
      <c r="G160" s="32">
        <v>0</v>
      </c>
      <c r="H160" s="32">
        <v>0</v>
      </c>
      <c r="I160" s="32">
        <v>0</v>
      </c>
      <c r="J160" s="32">
        <v>0</v>
      </c>
      <c r="K160" s="34">
        <v>0</v>
      </c>
      <c r="L160" s="32">
        <v>0</v>
      </c>
      <c r="M160" s="32">
        <v>0</v>
      </c>
      <c r="N160" s="32">
        <v>0</v>
      </c>
      <c r="O160" s="32">
        <v>0</v>
      </c>
      <c r="P160" s="32">
        <v>0</v>
      </c>
      <c r="Q160" s="32">
        <v>593.15</v>
      </c>
      <c r="R160" s="32">
        <v>1741055.4</v>
      </c>
      <c r="S160" s="32">
        <v>0</v>
      </c>
      <c r="T160" s="32">
        <v>0</v>
      </c>
      <c r="U160" s="32">
        <v>0</v>
      </c>
      <c r="V160" s="32">
        <v>0</v>
      </c>
      <c r="W160" s="32">
        <v>0</v>
      </c>
      <c r="X160" s="32">
        <v>0</v>
      </c>
      <c r="Y160" s="32">
        <v>0</v>
      </c>
      <c r="Z160" s="32">
        <v>0</v>
      </c>
      <c r="AA160" s="32">
        <v>0</v>
      </c>
      <c r="AB160" s="32">
        <v>0</v>
      </c>
      <c r="AC160" s="32">
        <f>ROUND(R160*1.5%,2)</f>
        <v>26115.83</v>
      </c>
      <c r="AD160" s="32">
        <v>110000</v>
      </c>
      <c r="AE160" s="32">
        <v>0</v>
      </c>
      <c r="AF160" s="35">
        <v>2020</v>
      </c>
      <c r="AG160" s="35">
        <v>2020</v>
      </c>
      <c r="AH160" s="36">
        <v>2020</v>
      </c>
    </row>
    <row r="161" spans="1:46" ht="61.5" x14ac:dyDescent="0.85">
      <c r="B161" s="25" t="s">
        <v>807</v>
      </c>
      <c r="C161" s="110"/>
      <c r="D161" s="32">
        <f>SUM(D162:D198)</f>
        <v>150030084.49000001</v>
      </c>
      <c r="E161" s="32">
        <f t="shared" ref="E161:AE161" si="38">SUM(E162:E198)</f>
        <v>533367.32999999996</v>
      </c>
      <c r="F161" s="32">
        <f t="shared" si="38"/>
        <v>788996.06</v>
      </c>
      <c r="G161" s="32">
        <f t="shared" si="38"/>
        <v>26287422.510000002</v>
      </c>
      <c r="H161" s="32">
        <f t="shared" si="38"/>
        <v>305082.55</v>
      </c>
      <c r="I161" s="32">
        <f t="shared" si="38"/>
        <v>999970.38</v>
      </c>
      <c r="J161" s="32">
        <f t="shared" si="38"/>
        <v>0</v>
      </c>
      <c r="K161" s="34">
        <f t="shared" si="38"/>
        <v>16</v>
      </c>
      <c r="L161" s="32">
        <f t="shared" si="38"/>
        <v>33938164.390000001</v>
      </c>
      <c r="M161" s="32">
        <f t="shared" si="38"/>
        <v>13821.47</v>
      </c>
      <c r="N161" s="32">
        <f t="shared" si="38"/>
        <v>63134484.789999999</v>
      </c>
      <c r="O161" s="32">
        <f t="shared" si="38"/>
        <v>943</v>
      </c>
      <c r="P161" s="32">
        <f t="shared" si="38"/>
        <v>3260974.01</v>
      </c>
      <c r="Q161" s="32">
        <f t="shared" si="38"/>
        <v>3695</v>
      </c>
      <c r="R161" s="32">
        <f t="shared" si="38"/>
        <v>15407064.26</v>
      </c>
      <c r="S161" s="32">
        <f t="shared" si="38"/>
        <v>18.7</v>
      </c>
      <c r="T161" s="32">
        <f t="shared" si="38"/>
        <v>240194.84</v>
      </c>
      <c r="U161" s="32">
        <f t="shared" si="38"/>
        <v>0</v>
      </c>
      <c r="V161" s="32">
        <f t="shared" si="38"/>
        <v>0</v>
      </c>
      <c r="W161" s="32">
        <f t="shared" si="38"/>
        <v>0</v>
      </c>
      <c r="X161" s="32">
        <f t="shared" si="38"/>
        <v>0</v>
      </c>
      <c r="Y161" s="32">
        <f t="shared" si="38"/>
        <v>0</v>
      </c>
      <c r="Z161" s="32">
        <f t="shared" si="38"/>
        <v>0</v>
      </c>
      <c r="AA161" s="32">
        <f t="shared" si="38"/>
        <v>0</v>
      </c>
      <c r="AB161" s="32">
        <f t="shared" si="38"/>
        <v>0</v>
      </c>
      <c r="AC161" s="32">
        <f t="shared" si="38"/>
        <v>1664363.3700000003</v>
      </c>
      <c r="AD161" s="32">
        <f t="shared" si="38"/>
        <v>3470000</v>
      </c>
      <c r="AE161" s="32">
        <f t="shared" si="38"/>
        <v>0</v>
      </c>
      <c r="AF161" s="77" t="s">
        <v>801</v>
      </c>
      <c r="AG161" s="77" t="s">
        <v>801</v>
      </c>
      <c r="AH161" s="107" t="s">
        <v>801</v>
      </c>
      <c r="AT161" s="21" t="e">
        <f t="shared" ref="AT161:AT177" si="39">VLOOKUP(C161,AW:AX,2,FALSE)</f>
        <v>#N/A</v>
      </c>
    </row>
    <row r="162" spans="1:46" ht="61.5" x14ac:dyDescent="0.85">
      <c r="A162" s="21">
        <v>1</v>
      </c>
      <c r="B162" s="70">
        <f>SUBTOTAL(103,$A$22:A162)</f>
        <v>139</v>
      </c>
      <c r="C162" s="25" t="s">
        <v>405</v>
      </c>
      <c r="D162" s="32">
        <f t="shared" ref="D162:D198" si="40">E162+F162+G162+H162+I162+J162+L162+N162+P162+R162+T162+U162+V162+W162+X162+Y162+Z162+AA162+AB162+AC162+AD162+AE162</f>
        <v>5258499.1300000008</v>
      </c>
      <c r="E162" s="151">
        <v>0</v>
      </c>
      <c r="F162" s="151">
        <v>0</v>
      </c>
      <c r="G162" s="151">
        <v>0</v>
      </c>
      <c r="H162" s="151">
        <v>0</v>
      </c>
      <c r="I162" s="151">
        <v>0</v>
      </c>
      <c r="J162" s="151">
        <v>0</v>
      </c>
      <c r="K162" s="152">
        <v>0</v>
      </c>
      <c r="L162" s="151">
        <v>0</v>
      </c>
      <c r="M162" s="151">
        <v>1122</v>
      </c>
      <c r="N162" s="151">
        <v>5003447.4200000009</v>
      </c>
      <c r="O162" s="151">
        <v>0</v>
      </c>
      <c r="P162" s="151">
        <v>0</v>
      </c>
      <c r="Q162" s="151">
        <v>0</v>
      </c>
      <c r="R162" s="151">
        <v>0</v>
      </c>
      <c r="S162" s="151">
        <v>0</v>
      </c>
      <c r="T162" s="151">
        <v>0</v>
      </c>
      <c r="U162" s="151">
        <v>0</v>
      </c>
      <c r="V162" s="151">
        <v>0</v>
      </c>
      <c r="W162" s="151">
        <v>0</v>
      </c>
      <c r="X162" s="151">
        <v>0</v>
      </c>
      <c r="Y162" s="151">
        <v>0</v>
      </c>
      <c r="Z162" s="151">
        <v>0</v>
      </c>
      <c r="AA162" s="151">
        <v>0</v>
      </c>
      <c r="AB162" s="151">
        <v>0</v>
      </c>
      <c r="AC162" s="151">
        <f>ROUND(N162*1.5%,2)</f>
        <v>75051.710000000006</v>
      </c>
      <c r="AD162" s="151">
        <v>180000</v>
      </c>
      <c r="AE162" s="151">
        <v>0</v>
      </c>
      <c r="AF162" s="153">
        <v>2020</v>
      </c>
      <c r="AG162" s="153">
        <v>2020</v>
      </c>
      <c r="AH162" s="154">
        <v>2020</v>
      </c>
      <c r="AT162" s="21" t="e">
        <f t="shared" si="39"/>
        <v>#N/A</v>
      </c>
    </row>
    <row r="163" spans="1:46" ht="61.5" x14ac:dyDescent="0.85">
      <c r="A163" s="21">
        <v>1</v>
      </c>
      <c r="B163" s="70">
        <f>SUBTOTAL(103,$A$22:A163)</f>
        <v>140</v>
      </c>
      <c r="C163" s="25" t="s">
        <v>406</v>
      </c>
      <c r="D163" s="32">
        <f t="shared" si="40"/>
        <v>5811666.96</v>
      </c>
      <c r="E163" s="151">
        <v>353344.83</v>
      </c>
      <c r="F163" s="151">
        <v>788996.06</v>
      </c>
      <c r="G163" s="151">
        <v>4287872.8600000003</v>
      </c>
      <c r="H163" s="151">
        <v>0</v>
      </c>
      <c r="I163" s="151">
        <v>0</v>
      </c>
      <c r="J163" s="151">
        <v>0</v>
      </c>
      <c r="K163" s="152">
        <v>0</v>
      </c>
      <c r="L163" s="151">
        <v>0</v>
      </c>
      <c r="M163" s="151">
        <v>0</v>
      </c>
      <c r="N163" s="151">
        <v>0</v>
      </c>
      <c r="O163" s="151">
        <v>0</v>
      </c>
      <c r="P163" s="151">
        <v>0</v>
      </c>
      <c r="Q163" s="151">
        <v>0</v>
      </c>
      <c r="R163" s="151">
        <v>0</v>
      </c>
      <c r="S163" s="151">
        <v>0</v>
      </c>
      <c r="T163" s="151">
        <v>0</v>
      </c>
      <c r="U163" s="151">
        <v>0</v>
      </c>
      <c r="V163" s="151">
        <v>0</v>
      </c>
      <c r="W163" s="151">
        <v>0</v>
      </c>
      <c r="X163" s="151">
        <v>0</v>
      </c>
      <c r="Y163" s="151">
        <v>0</v>
      </c>
      <c r="Z163" s="151">
        <v>0</v>
      </c>
      <c r="AA163" s="151">
        <v>0</v>
      </c>
      <c r="AB163" s="151">
        <v>0</v>
      </c>
      <c r="AC163" s="151">
        <f t="shared" ref="AC163" si="41">ROUND((E163+F163+G163+H163+I163+J163)*1.5%,2)</f>
        <v>81453.210000000006</v>
      </c>
      <c r="AD163" s="151">
        <v>300000</v>
      </c>
      <c r="AE163" s="151">
        <v>0</v>
      </c>
      <c r="AF163" s="153">
        <v>2020</v>
      </c>
      <c r="AG163" s="153">
        <v>2020</v>
      </c>
      <c r="AH163" s="154">
        <v>2020</v>
      </c>
      <c r="AT163" s="21" t="e">
        <f t="shared" si="39"/>
        <v>#N/A</v>
      </c>
    </row>
    <row r="164" spans="1:46" ht="61.5" x14ac:dyDescent="0.85">
      <c r="A164" s="21">
        <v>1</v>
      </c>
      <c r="B164" s="70">
        <f>SUBTOTAL(103,$A$22:A164)</f>
        <v>141</v>
      </c>
      <c r="C164" s="25" t="s">
        <v>407</v>
      </c>
      <c r="D164" s="32">
        <f t="shared" si="40"/>
        <v>2029035.9300000002</v>
      </c>
      <c r="E164" s="151">
        <v>0</v>
      </c>
      <c r="F164" s="151">
        <v>0</v>
      </c>
      <c r="G164" s="151">
        <v>0</v>
      </c>
      <c r="H164" s="151">
        <v>0</v>
      </c>
      <c r="I164" s="151">
        <v>0</v>
      </c>
      <c r="J164" s="151">
        <v>0</v>
      </c>
      <c r="K164" s="152">
        <v>0</v>
      </c>
      <c r="L164" s="151">
        <v>0</v>
      </c>
      <c r="M164" s="151">
        <v>434</v>
      </c>
      <c r="N164" s="151">
        <v>1880823.58</v>
      </c>
      <c r="O164" s="151">
        <v>0</v>
      </c>
      <c r="P164" s="151">
        <v>0</v>
      </c>
      <c r="Q164" s="151">
        <v>0</v>
      </c>
      <c r="R164" s="151">
        <v>0</v>
      </c>
      <c r="S164" s="151">
        <v>0</v>
      </c>
      <c r="T164" s="151">
        <v>0</v>
      </c>
      <c r="U164" s="151">
        <v>0</v>
      </c>
      <c r="V164" s="151">
        <v>0</v>
      </c>
      <c r="W164" s="151">
        <v>0</v>
      </c>
      <c r="X164" s="151">
        <v>0</v>
      </c>
      <c r="Y164" s="151">
        <v>0</v>
      </c>
      <c r="Z164" s="151">
        <v>0</v>
      </c>
      <c r="AA164" s="151">
        <v>0</v>
      </c>
      <c r="AB164" s="151">
        <v>0</v>
      </c>
      <c r="AC164" s="151">
        <f t="shared" ref="AC164:AC166" si="42">ROUND(N164*1.5%,2)</f>
        <v>28212.35</v>
      </c>
      <c r="AD164" s="151">
        <v>120000</v>
      </c>
      <c r="AE164" s="151">
        <v>0</v>
      </c>
      <c r="AF164" s="153">
        <v>2020</v>
      </c>
      <c r="AG164" s="153">
        <v>2020</v>
      </c>
      <c r="AH164" s="154">
        <v>2020</v>
      </c>
      <c r="AT164" s="21" t="e">
        <f t="shared" si="39"/>
        <v>#N/A</v>
      </c>
    </row>
    <row r="165" spans="1:46" ht="61.5" x14ac:dyDescent="0.85">
      <c r="A165" s="21">
        <v>1</v>
      </c>
      <c r="B165" s="70">
        <f>SUBTOTAL(103,$A$22:A165)</f>
        <v>142</v>
      </c>
      <c r="C165" s="25" t="s">
        <v>408</v>
      </c>
      <c r="D165" s="32">
        <f t="shared" si="40"/>
        <v>4349274.9800000004</v>
      </c>
      <c r="E165" s="151">
        <v>0</v>
      </c>
      <c r="F165" s="151">
        <v>0</v>
      </c>
      <c r="G165" s="151">
        <v>0</v>
      </c>
      <c r="H165" s="151">
        <v>0</v>
      </c>
      <c r="I165" s="151">
        <v>0</v>
      </c>
      <c r="J165" s="151">
        <v>0</v>
      </c>
      <c r="K165" s="152">
        <v>0</v>
      </c>
      <c r="L165" s="151">
        <v>0</v>
      </c>
      <c r="M165" s="151">
        <v>928</v>
      </c>
      <c r="N165" s="151">
        <v>4137216.7300000004</v>
      </c>
      <c r="O165" s="151">
        <v>0</v>
      </c>
      <c r="P165" s="151">
        <v>0</v>
      </c>
      <c r="Q165" s="151">
        <v>0</v>
      </c>
      <c r="R165" s="151">
        <v>0</v>
      </c>
      <c r="S165" s="151">
        <v>0</v>
      </c>
      <c r="T165" s="151">
        <v>0</v>
      </c>
      <c r="U165" s="151">
        <v>0</v>
      </c>
      <c r="V165" s="151">
        <v>0</v>
      </c>
      <c r="W165" s="151">
        <v>0</v>
      </c>
      <c r="X165" s="151">
        <v>0</v>
      </c>
      <c r="Y165" s="151">
        <v>0</v>
      </c>
      <c r="Z165" s="151">
        <v>0</v>
      </c>
      <c r="AA165" s="151">
        <v>0</v>
      </c>
      <c r="AB165" s="151">
        <v>0</v>
      </c>
      <c r="AC165" s="151">
        <f t="shared" si="42"/>
        <v>62058.25</v>
      </c>
      <c r="AD165" s="151">
        <v>150000</v>
      </c>
      <c r="AE165" s="151">
        <v>0</v>
      </c>
      <c r="AF165" s="153">
        <v>2020</v>
      </c>
      <c r="AG165" s="153">
        <v>2020</v>
      </c>
      <c r="AH165" s="154">
        <v>2020</v>
      </c>
      <c r="AT165" s="21" t="e">
        <f t="shared" si="39"/>
        <v>#N/A</v>
      </c>
    </row>
    <row r="166" spans="1:46" ht="61.5" x14ac:dyDescent="0.85">
      <c r="A166" s="21">
        <v>1</v>
      </c>
      <c r="B166" s="70">
        <f>SUBTOTAL(103,$A$22:A166)</f>
        <v>143</v>
      </c>
      <c r="C166" s="25" t="s">
        <v>409</v>
      </c>
      <c r="D166" s="32">
        <f t="shared" si="40"/>
        <v>4523137.4800000004</v>
      </c>
      <c r="E166" s="151">
        <v>0</v>
      </c>
      <c r="F166" s="151">
        <v>0</v>
      </c>
      <c r="G166" s="151">
        <v>0</v>
      </c>
      <c r="H166" s="151">
        <v>0</v>
      </c>
      <c r="I166" s="151">
        <v>0</v>
      </c>
      <c r="J166" s="151">
        <v>0</v>
      </c>
      <c r="K166" s="152">
        <v>0</v>
      </c>
      <c r="L166" s="151">
        <v>0</v>
      </c>
      <c r="M166" s="151">
        <v>976</v>
      </c>
      <c r="N166" s="151">
        <v>4308509.83</v>
      </c>
      <c r="O166" s="151">
        <v>0</v>
      </c>
      <c r="P166" s="151">
        <v>0</v>
      </c>
      <c r="Q166" s="151">
        <v>0</v>
      </c>
      <c r="R166" s="151">
        <v>0</v>
      </c>
      <c r="S166" s="151">
        <v>0</v>
      </c>
      <c r="T166" s="151">
        <v>0</v>
      </c>
      <c r="U166" s="151">
        <v>0</v>
      </c>
      <c r="V166" s="151">
        <v>0</v>
      </c>
      <c r="W166" s="151">
        <v>0</v>
      </c>
      <c r="X166" s="151">
        <v>0</v>
      </c>
      <c r="Y166" s="151">
        <v>0</v>
      </c>
      <c r="Z166" s="151">
        <v>0</v>
      </c>
      <c r="AA166" s="151">
        <v>0</v>
      </c>
      <c r="AB166" s="151">
        <v>0</v>
      </c>
      <c r="AC166" s="151">
        <f t="shared" si="42"/>
        <v>64627.65</v>
      </c>
      <c r="AD166" s="151">
        <v>150000</v>
      </c>
      <c r="AE166" s="151">
        <v>0</v>
      </c>
      <c r="AF166" s="153">
        <v>2020</v>
      </c>
      <c r="AG166" s="153">
        <v>2020</v>
      </c>
      <c r="AH166" s="154">
        <v>2020</v>
      </c>
      <c r="AT166" s="21" t="e">
        <f t="shared" si="39"/>
        <v>#N/A</v>
      </c>
    </row>
    <row r="167" spans="1:46" ht="61.5" x14ac:dyDescent="0.85">
      <c r="A167" s="21">
        <v>1</v>
      </c>
      <c r="B167" s="70">
        <f>SUBTOTAL(103,$A$22:A167)</f>
        <v>144</v>
      </c>
      <c r="C167" s="25" t="s">
        <v>410</v>
      </c>
      <c r="D167" s="32">
        <f t="shared" si="40"/>
        <v>6646708.3700000001</v>
      </c>
      <c r="E167" s="151">
        <v>0</v>
      </c>
      <c r="F167" s="151">
        <v>0</v>
      </c>
      <c r="G167" s="151">
        <v>0</v>
      </c>
      <c r="H167" s="151">
        <v>0</v>
      </c>
      <c r="I167" s="151">
        <v>0</v>
      </c>
      <c r="J167" s="151">
        <v>0</v>
      </c>
      <c r="K167" s="152">
        <v>3</v>
      </c>
      <c r="L167" s="151">
        <v>6546708.3700000001</v>
      </c>
      <c r="M167" s="151">
        <v>0</v>
      </c>
      <c r="N167" s="151">
        <v>0</v>
      </c>
      <c r="O167" s="151">
        <v>0</v>
      </c>
      <c r="P167" s="151">
        <v>0</v>
      </c>
      <c r="Q167" s="151">
        <v>0</v>
      </c>
      <c r="R167" s="151">
        <v>0</v>
      </c>
      <c r="S167" s="151">
        <v>0</v>
      </c>
      <c r="T167" s="151">
        <v>0</v>
      </c>
      <c r="U167" s="151">
        <v>0</v>
      </c>
      <c r="V167" s="151">
        <v>0</v>
      </c>
      <c r="W167" s="151">
        <v>0</v>
      </c>
      <c r="X167" s="151">
        <v>0</v>
      </c>
      <c r="Y167" s="151">
        <v>0</v>
      </c>
      <c r="Z167" s="151">
        <v>0</v>
      </c>
      <c r="AA167" s="151">
        <v>0</v>
      </c>
      <c r="AB167" s="151">
        <v>0</v>
      </c>
      <c r="AC167" s="151">
        <v>0</v>
      </c>
      <c r="AD167" s="151">
        <v>100000</v>
      </c>
      <c r="AE167" s="151">
        <v>0</v>
      </c>
      <c r="AF167" s="153">
        <v>2020</v>
      </c>
      <c r="AG167" s="153">
        <v>2020</v>
      </c>
      <c r="AH167" s="154" t="s">
        <v>275</v>
      </c>
      <c r="AT167" s="21">
        <f t="shared" si="39"/>
        <v>1</v>
      </c>
    </row>
    <row r="168" spans="1:46" ht="61.5" x14ac:dyDescent="0.85">
      <c r="A168" s="21">
        <v>1</v>
      </c>
      <c r="B168" s="70">
        <f>SUBTOTAL(103,$A$22:A168)</f>
        <v>145</v>
      </c>
      <c r="C168" s="25" t="s">
        <v>411</v>
      </c>
      <c r="D168" s="32">
        <f t="shared" si="40"/>
        <v>2340853.12</v>
      </c>
      <c r="E168" s="151">
        <v>0</v>
      </c>
      <c r="F168" s="151">
        <v>0</v>
      </c>
      <c r="G168" s="151">
        <v>0</v>
      </c>
      <c r="H168" s="151">
        <v>0</v>
      </c>
      <c r="I168" s="151">
        <v>0</v>
      </c>
      <c r="J168" s="151">
        <v>0</v>
      </c>
      <c r="K168" s="152">
        <v>0</v>
      </c>
      <c r="L168" s="151">
        <v>0</v>
      </c>
      <c r="M168" s="151">
        <v>508</v>
      </c>
      <c r="N168" s="151">
        <v>2158475.98</v>
      </c>
      <c r="O168" s="151">
        <v>0</v>
      </c>
      <c r="P168" s="151">
        <v>0</v>
      </c>
      <c r="Q168" s="151">
        <v>0</v>
      </c>
      <c r="R168" s="151">
        <v>0</v>
      </c>
      <c r="S168" s="151">
        <v>0</v>
      </c>
      <c r="T168" s="151">
        <v>0</v>
      </c>
      <c r="U168" s="151">
        <v>0</v>
      </c>
      <c r="V168" s="151">
        <v>0</v>
      </c>
      <c r="W168" s="151">
        <v>0</v>
      </c>
      <c r="X168" s="151">
        <v>0</v>
      </c>
      <c r="Y168" s="151">
        <v>0</v>
      </c>
      <c r="Z168" s="151">
        <v>0</v>
      </c>
      <c r="AA168" s="151">
        <v>0</v>
      </c>
      <c r="AB168" s="151">
        <v>0</v>
      </c>
      <c r="AC168" s="151">
        <f>ROUND(N168*1.5%,2)</f>
        <v>32377.14</v>
      </c>
      <c r="AD168" s="151">
        <v>150000</v>
      </c>
      <c r="AE168" s="151">
        <v>0</v>
      </c>
      <c r="AF168" s="153">
        <v>2020</v>
      </c>
      <c r="AG168" s="153">
        <v>2020</v>
      </c>
      <c r="AH168" s="154">
        <v>2020</v>
      </c>
      <c r="AT168" s="21" t="e">
        <f t="shared" si="39"/>
        <v>#N/A</v>
      </c>
    </row>
    <row r="169" spans="1:46" ht="61.5" x14ac:dyDescent="0.85">
      <c r="A169" s="21">
        <v>1</v>
      </c>
      <c r="B169" s="70">
        <f>SUBTOTAL(103,$A$22:A169)</f>
        <v>146</v>
      </c>
      <c r="C169" s="25" t="s">
        <v>412</v>
      </c>
      <c r="D169" s="32">
        <f t="shared" si="40"/>
        <v>6646708.3700000001</v>
      </c>
      <c r="E169" s="151">
        <v>0</v>
      </c>
      <c r="F169" s="151">
        <v>0</v>
      </c>
      <c r="G169" s="151">
        <v>0</v>
      </c>
      <c r="H169" s="151">
        <v>0</v>
      </c>
      <c r="I169" s="151">
        <v>0</v>
      </c>
      <c r="J169" s="151">
        <v>0</v>
      </c>
      <c r="K169" s="152">
        <v>3</v>
      </c>
      <c r="L169" s="151">
        <v>6546708.3700000001</v>
      </c>
      <c r="M169" s="151">
        <v>0</v>
      </c>
      <c r="N169" s="151">
        <v>0</v>
      </c>
      <c r="O169" s="151">
        <v>0</v>
      </c>
      <c r="P169" s="151">
        <v>0</v>
      </c>
      <c r="Q169" s="151">
        <v>0</v>
      </c>
      <c r="R169" s="151">
        <v>0</v>
      </c>
      <c r="S169" s="151">
        <v>0</v>
      </c>
      <c r="T169" s="151">
        <v>0</v>
      </c>
      <c r="U169" s="151">
        <v>0</v>
      </c>
      <c r="V169" s="151">
        <v>0</v>
      </c>
      <c r="W169" s="151">
        <v>0</v>
      </c>
      <c r="X169" s="151">
        <v>0</v>
      </c>
      <c r="Y169" s="151">
        <v>0</v>
      </c>
      <c r="Z169" s="151">
        <v>0</v>
      </c>
      <c r="AA169" s="151">
        <v>0</v>
      </c>
      <c r="AB169" s="151">
        <v>0</v>
      </c>
      <c r="AC169" s="151">
        <v>0</v>
      </c>
      <c r="AD169" s="151">
        <v>100000</v>
      </c>
      <c r="AE169" s="151">
        <v>0</v>
      </c>
      <c r="AF169" s="153">
        <v>2020</v>
      </c>
      <c r="AG169" s="153">
        <v>2020</v>
      </c>
      <c r="AH169" s="154" t="s">
        <v>275</v>
      </c>
      <c r="AT169" s="21" t="e">
        <f t="shared" si="39"/>
        <v>#N/A</v>
      </c>
    </row>
    <row r="170" spans="1:46" ht="61.5" x14ac:dyDescent="0.85">
      <c r="A170" s="21">
        <v>1</v>
      </c>
      <c r="B170" s="70">
        <f>SUBTOTAL(103,$A$22:A170)</f>
        <v>147</v>
      </c>
      <c r="C170" s="25" t="s">
        <v>413</v>
      </c>
      <c r="D170" s="32">
        <f t="shared" si="40"/>
        <v>7405015.5899999999</v>
      </c>
      <c r="E170" s="151">
        <v>0</v>
      </c>
      <c r="F170" s="151">
        <v>0</v>
      </c>
      <c r="G170" s="151">
        <v>0</v>
      </c>
      <c r="H170" s="151">
        <v>0</v>
      </c>
      <c r="I170" s="151">
        <v>0</v>
      </c>
      <c r="J170" s="151">
        <v>0</v>
      </c>
      <c r="K170" s="152">
        <v>0</v>
      </c>
      <c r="L170" s="151">
        <v>0</v>
      </c>
      <c r="M170" s="151">
        <v>1580</v>
      </c>
      <c r="N170" s="151">
        <v>7118241.96</v>
      </c>
      <c r="O170" s="151">
        <v>0</v>
      </c>
      <c r="P170" s="151">
        <v>0</v>
      </c>
      <c r="Q170" s="151">
        <v>0</v>
      </c>
      <c r="R170" s="151">
        <v>0</v>
      </c>
      <c r="S170" s="151">
        <v>0</v>
      </c>
      <c r="T170" s="151">
        <v>0</v>
      </c>
      <c r="U170" s="151">
        <v>0</v>
      </c>
      <c r="V170" s="151">
        <v>0</v>
      </c>
      <c r="W170" s="151">
        <v>0</v>
      </c>
      <c r="X170" s="151">
        <v>0</v>
      </c>
      <c r="Y170" s="151">
        <v>0</v>
      </c>
      <c r="Z170" s="151">
        <v>0</v>
      </c>
      <c r="AA170" s="151">
        <v>0</v>
      </c>
      <c r="AB170" s="151">
        <v>0</v>
      </c>
      <c r="AC170" s="151">
        <f t="shared" ref="AC170:AC173" si="43">ROUND(N170*1.5%,2)</f>
        <v>106773.63</v>
      </c>
      <c r="AD170" s="151">
        <v>180000</v>
      </c>
      <c r="AE170" s="151">
        <v>0</v>
      </c>
      <c r="AF170" s="153">
        <v>2020</v>
      </c>
      <c r="AG170" s="153">
        <v>2020</v>
      </c>
      <c r="AH170" s="154">
        <v>2020</v>
      </c>
      <c r="AT170" s="21" t="e">
        <f t="shared" si="39"/>
        <v>#N/A</v>
      </c>
    </row>
    <row r="171" spans="1:46" ht="61.5" x14ac:dyDescent="0.85">
      <c r="A171" s="21">
        <v>1</v>
      </c>
      <c r="B171" s="70">
        <f>SUBTOTAL(103,$A$22:A171)</f>
        <v>148</v>
      </c>
      <c r="C171" s="25" t="s">
        <v>414</v>
      </c>
      <c r="D171" s="32">
        <f t="shared" si="40"/>
        <v>5249124.9800000004</v>
      </c>
      <c r="E171" s="151">
        <v>0</v>
      </c>
      <c r="F171" s="151">
        <v>0</v>
      </c>
      <c r="G171" s="151">
        <v>0</v>
      </c>
      <c r="H171" s="151">
        <v>0</v>
      </c>
      <c r="I171" s="151">
        <v>0</v>
      </c>
      <c r="J171" s="151">
        <v>0</v>
      </c>
      <c r="K171" s="152">
        <v>0</v>
      </c>
      <c r="L171" s="151">
        <v>0</v>
      </c>
      <c r="M171" s="151">
        <v>1120</v>
      </c>
      <c r="N171" s="151">
        <v>4994211.8000000007</v>
      </c>
      <c r="O171" s="151">
        <v>0</v>
      </c>
      <c r="P171" s="151">
        <v>0</v>
      </c>
      <c r="Q171" s="151">
        <v>0</v>
      </c>
      <c r="R171" s="151">
        <v>0</v>
      </c>
      <c r="S171" s="151">
        <v>0</v>
      </c>
      <c r="T171" s="151">
        <v>0</v>
      </c>
      <c r="U171" s="151">
        <v>0</v>
      </c>
      <c r="V171" s="151">
        <v>0</v>
      </c>
      <c r="W171" s="151">
        <v>0</v>
      </c>
      <c r="X171" s="151">
        <v>0</v>
      </c>
      <c r="Y171" s="151">
        <v>0</v>
      </c>
      <c r="Z171" s="151">
        <v>0</v>
      </c>
      <c r="AA171" s="151">
        <v>0</v>
      </c>
      <c r="AB171" s="151">
        <v>0</v>
      </c>
      <c r="AC171" s="151">
        <f t="shared" si="43"/>
        <v>74913.179999999993</v>
      </c>
      <c r="AD171" s="151">
        <v>180000</v>
      </c>
      <c r="AE171" s="151">
        <v>0</v>
      </c>
      <c r="AF171" s="153">
        <v>2020</v>
      </c>
      <c r="AG171" s="153">
        <v>2020</v>
      </c>
      <c r="AH171" s="154">
        <v>2020</v>
      </c>
      <c r="AT171" s="21" t="e">
        <f t="shared" si="39"/>
        <v>#N/A</v>
      </c>
    </row>
    <row r="172" spans="1:46" ht="61.5" x14ac:dyDescent="0.85">
      <c r="A172" s="21">
        <v>1</v>
      </c>
      <c r="B172" s="70">
        <f>SUBTOTAL(103,$A$22:A172)</f>
        <v>149</v>
      </c>
      <c r="C172" s="25" t="s">
        <v>415</v>
      </c>
      <c r="D172" s="32">
        <f t="shared" si="40"/>
        <v>2212131.2399999998</v>
      </c>
      <c r="E172" s="151">
        <v>0</v>
      </c>
      <c r="F172" s="151">
        <v>0</v>
      </c>
      <c r="G172" s="151">
        <v>0</v>
      </c>
      <c r="H172" s="151">
        <v>0</v>
      </c>
      <c r="I172" s="151">
        <v>0</v>
      </c>
      <c r="J172" s="151">
        <v>0</v>
      </c>
      <c r="K172" s="152">
        <v>0</v>
      </c>
      <c r="L172" s="151">
        <v>0</v>
      </c>
      <c r="M172" s="151">
        <v>472</v>
      </c>
      <c r="N172" s="151">
        <v>2061213.0399999998</v>
      </c>
      <c r="O172" s="151">
        <v>0</v>
      </c>
      <c r="P172" s="151">
        <v>0</v>
      </c>
      <c r="Q172" s="151">
        <v>0</v>
      </c>
      <c r="R172" s="151">
        <v>0</v>
      </c>
      <c r="S172" s="151">
        <v>0</v>
      </c>
      <c r="T172" s="151">
        <v>0</v>
      </c>
      <c r="U172" s="151">
        <v>0</v>
      </c>
      <c r="V172" s="151">
        <v>0</v>
      </c>
      <c r="W172" s="151">
        <v>0</v>
      </c>
      <c r="X172" s="151">
        <v>0</v>
      </c>
      <c r="Y172" s="151">
        <v>0</v>
      </c>
      <c r="Z172" s="151">
        <v>0</v>
      </c>
      <c r="AA172" s="151">
        <v>0</v>
      </c>
      <c r="AB172" s="151">
        <v>0</v>
      </c>
      <c r="AC172" s="151">
        <f t="shared" si="43"/>
        <v>30918.2</v>
      </c>
      <c r="AD172" s="151">
        <v>120000</v>
      </c>
      <c r="AE172" s="151">
        <v>0</v>
      </c>
      <c r="AF172" s="153">
        <v>2020</v>
      </c>
      <c r="AG172" s="153">
        <v>2020</v>
      </c>
      <c r="AH172" s="154">
        <v>2020</v>
      </c>
      <c r="AT172" s="21" t="e">
        <f t="shared" si="39"/>
        <v>#N/A</v>
      </c>
    </row>
    <row r="173" spans="1:46" ht="61.5" x14ac:dyDescent="0.85">
      <c r="A173" s="21">
        <v>1</v>
      </c>
      <c r="B173" s="70">
        <f>SUBTOTAL(103,$A$22:A173)</f>
        <v>150</v>
      </c>
      <c r="C173" s="25" t="s">
        <v>416</v>
      </c>
      <c r="D173" s="32">
        <f t="shared" si="40"/>
        <v>2918296.86</v>
      </c>
      <c r="E173" s="151">
        <v>0</v>
      </c>
      <c r="F173" s="151">
        <v>0</v>
      </c>
      <c r="G173" s="151">
        <v>0</v>
      </c>
      <c r="H173" s="151">
        <v>0</v>
      </c>
      <c r="I173" s="151">
        <v>0</v>
      </c>
      <c r="J173" s="151">
        <v>0</v>
      </c>
      <c r="K173" s="152">
        <v>0</v>
      </c>
      <c r="L173" s="151">
        <v>0</v>
      </c>
      <c r="M173" s="151">
        <v>580</v>
      </c>
      <c r="N173" s="151">
        <v>2727386.07</v>
      </c>
      <c r="O173" s="151">
        <v>0</v>
      </c>
      <c r="P173" s="151">
        <v>0</v>
      </c>
      <c r="Q173" s="151">
        <v>0</v>
      </c>
      <c r="R173" s="151">
        <v>0</v>
      </c>
      <c r="S173" s="151">
        <v>0</v>
      </c>
      <c r="T173" s="151">
        <v>0</v>
      </c>
      <c r="U173" s="151">
        <v>0</v>
      </c>
      <c r="V173" s="151">
        <v>0</v>
      </c>
      <c r="W173" s="151">
        <v>0</v>
      </c>
      <c r="X173" s="151">
        <v>0</v>
      </c>
      <c r="Y173" s="151">
        <v>0</v>
      </c>
      <c r="Z173" s="151">
        <v>0</v>
      </c>
      <c r="AA173" s="151">
        <v>0</v>
      </c>
      <c r="AB173" s="151">
        <v>0</v>
      </c>
      <c r="AC173" s="151">
        <f t="shared" si="43"/>
        <v>40910.79</v>
      </c>
      <c r="AD173" s="151">
        <v>150000</v>
      </c>
      <c r="AE173" s="151">
        <v>0</v>
      </c>
      <c r="AF173" s="153">
        <v>2020</v>
      </c>
      <c r="AG173" s="153">
        <v>2020</v>
      </c>
      <c r="AH173" s="154">
        <v>2020</v>
      </c>
      <c r="AT173" s="21" t="e">
        <f t="shared" si="39"/>
        <v>#N/A</v>
      </c>
    </row>
    <row r="174" spans="1:46" ht="61.5" x14ac:dyDescent="0.85">
      <c r="A174" s="21">
        <v>1</v>
      </c>
      <c r="B174" s="70">
        <f>SUBTOTAL(103,$A$22:A174)</f>
        <v>151</v>
      </c>
      <c r="C174" s="25" t="s">
        <v>417</v>
      </c>
      <c r="D174" s="32">
        <f t="shared" si="40"/>
        <v>14808185</v>
      </c>
      <c r="E174" s="151">
        <v>0</v>
      </c>
      <c r="F174" s="151">
        <v>0</v>
      </c>
      <c r="G174" s="151">
        <v>14293778.33</v>
      </c>
      <c r="H174" s="151">
        <v>0</v>
      </c>
      <c r="I174" s="151">
        <v>0</v>
      </c>
      <c r="J174" s="151">
        <v>0</v>
      </c>
      <c r="K174" s="152">
        <v>0</v>
      </c>
      <c r="L174" s="151">
        <v>0</v>
      </c>
      <c r="M174" s="151">
        <v>0</v>
      </c>
      <c r="N174" s="151">
        <v>0</v>
      </c>
      <c r="O174" s="151">
        <v>0</v>
      </c>
      <c r="P174" s="151">
        <v>0</v>
      </c>
      <c r="Q174" s="151">
        <v>0</v>
      </c>
      <c r="R174" s="151">
        <v>0</v>
      </c>
      <c r="S174" s="151">
        <v>0</v>
      </c>
      <c r="T174" s="151">
        <v>0</v>
      </c>
      <c r="U174" s="151">
        <v>0</v>
      </c>
      <c r="V174" s="151">
        <v>0</v>
      </c>
      <c r="W174" s="151">
        <v>0</v>
      </c>
      <c r="X174" s="151">
        <v>0</v>
      </c>
      <c r="Y174" s="151">
        <v>0</v>
      </c>
      <c r="Z174" s="151">
        <v>0</v>
      </c>
      <c r="AA174" s="151">
        <v>0</v>
      </c>
      <c r="AB174" s="151">
        <v>0</v>
      </c>
      <c r="AC174" s="151">
        <f t="shared" ref="AC174" si="44">ROUND((E174+F174+G174+H174+I174+J174)*1.5%,2)</f>
        <v>214406.67</v>
      </c>
      <c r="AD174" s="151">
        <v>300000</v>
      </c>
      <c r="AE174" s="151">
        <v>0</v>
      </c>
      <c r="AF174" s="153">
        <v>2020</v>
      </c>
      <c r="AG174" s="153">
        <v>2020</v>
      </c>
      <c r="AH174" s="154">
        <v>2020</v>
      </c>
      <c r="AT174" s="21" t="e">
        <f t="shared" si="39"/>
        <v>#N/A</v>
      </c>
    </row>
    <row r="175" spans="1:46" ht="61.5" x14ac:dyDescent="0.85">
      <c r="A175" s="21">
        <v>1</v>
      </c>
      <c r="B175" s="70">
        <f>SUBTOTAL(103,$A$22:A175)</f>
        <v>152</v>
      </c>
      <c r="C175" s="25" t="s">
        <v>203</v>
      </c>
      <c r="D175" s="32">
        <f t="shared" si="40"/>
        <v>6233335.9100000001</v>
      </c>
      <c r="E175" s="151">
        <v>0</v>
      </c>
      <c r="F175" s="151">
        <v>0</v>
      </c>
      <c r="G175" s="151">
        <v>0</v>
      </c>
      <c r="H175" s="151">
        <v>0</v>
      </c>
      <c r="I175" s="151">
        <v>0</v>
      </c>
      <c r="J175" s="151">
        <v>0</v>
      </c>
      <c r="K175" s="152">
        <v>0</v>
      </c>
      <c r="L175" s="151">
        <v>0</v>
      </c>
      <c r="M175" s="151">
        <v>1330</v>
      </c>
      <c r="N175" s="151">
        <v>5963877.7400000002</v>
      </c>
      <c r="O175" s="151">
        <v>0</v>
      </c>
      <c r="P175" s="151">
        <v>0</v>
      </c>
      <c r="Q175" s="151">
        <v>0</v>
      </c>
      <c r="R175" s="151">
        <v>0</v>
      </c>
      <c r="S175" s="151">
        <v>0</v>
      </c>
      <c r="T175" s="151">
        <v>0</v>
      </c>
      <c r="U175" s="151">
        <v>0</v>
      </c>
      <c r="V175" s="151">
        <v>0</v>
      </c>
      <c r="W175" s="151">
        <v>0</v>
      </c>
      <c r="X175" s="151">
        <v>0</v>
      </c>
      <c r="Y175" s="151">
        <v>0</v>
      </c>
      <c r="Z175" s="151">
        <v>0</v>
      </c>
      <c r="AA175" s="151">
        <v>0</v>
      </c>
      <c r="AB175" s="151">
        <v>0</v>
      </c>
      <c r="AC175" s="151">
        <f t="shared" ref="AC175:AC177" si="45">ROUND(N175*1.5%,2)</f>
        <v>89458.17</v>
      </c>
      <c r="AD175" s="151">
        <v>180000</v>
      </c>
      <c r="AE175" s="151">
        <v>0</v>
      </c>
      <c r="AF175" s="153">
        <v>2020</v>
      </c>
      <c r="AG175" s="153">
        <v>2020</v>
      </c>
      <c r="AH175" s="154">
        <v>2020</v>
      </c>
      <c r="AT175" s="21" t="e">
        <f t="shared" si="39"/>
        <v>#N/A</v>
      </c>
    </row>
    <row r="176" spans="1:46" ht="61.5" x14ac:dyDescent="0.85">
      <c r="A176" s="21">
        <v>1</v>
      </c>
      <c r="B176" s="70">
        <f>SUBTOTAL(103,$A$22:A176)</f>
        <v>153</v>
      </c>
      <c r="C176" s="25" t="s">
        <v>418</v>
      </c>
      <c r="D176" s="32">
        <f t="shared" si="40"/>
        <v>1570050.77</v>
      </c>
      <c r="E176" s="151">
        <v>0</v>
      </c>
      <c r="F176" s="151">
        <v>0</v>
      </c>
      <c r="G176" s="151">
        <v>0</v>
      </c>
      <c r="H176" s="151">
        <v>0</v>
      </c>
      <c r="I176" s="151">
        <v>0</v>
      </c>
      <c r="J176" s="151">
        <v>0</v>
      </c>
      <c r="K176" s="152">
        <v>0</v>
      </c>
      <c r="L176" s="151">
        <v>0</v>
      </c>
      <c r="M176" s="151">
        <v>335</v>
      </c>
      <c r="N176" s="151">
        <v>1428621.45</v>
      </c>
      <c r="O176" s="151">
        <v>0</v>
      </c>
      <c r="P176" s="151">
        <v>0</v>
      </c>
      <c r="Q176" s="151">
        <v>0</v>
      </c>
      <c r="R176" s="151">
        <v>0</v>
      </c>
      <c r="S176" s="151">
        <v>0</v>
      </c>
      <c r="T176" s="151">
        <v>0</v>
      </c>
      <c r="U176" s="151">
        <v>0</v>
      </c>
      <c r="V176" s="151">
        <v>0</v>
      </c>
      <c r="W176" s="151">
        <v>0</v>
      </c>
      <c r="X176" s="151">
        <v>0</v>
      </c>
      <c r="Y176" s="151">
        <v>0</v>
      </c>
      <c r="Z176" s="151">
        <v>0</v>
      </c>
      <c r="AA176" s="151">
        <v>0</v>
      </c>
      <c r="AB176" s="151">
        <v>0</v>
      </c>
      <c r="AC176" s="151">
        <f t="shared" si="45"/>
        <v>21429.32</v>
      </c>
      <c r="AD176" s="151">
        <v>120000</v>
      </c>
      <c r="AE176" s="151">
        <v>0</v>
      </c>
      <c r="AF176" s="153">
        <v>2020</v>
      </c>
      <c r="AG176" s="153">
        <v>2020</v>
      </c>
      <c r="AH176" s="154">
        <v>2020</v>
      </c>
      <c r="AT176" s="21" t="e">
        <f t="shared" si="39"/>
        <v>#N/A</v>
      </c>
    </row>
    <row r="177" spans="1:46" ht="61.5" x14ac:dyDescent="0.85">
      <c r="A177" s="21">
        <v>1</v>
      </c>
      <c r="B177" s="70">
        <f>SUBTOTAL(103,$A$22:A177)</f>
        <v>154</v>
      </c>
      <c r="C177" s="25" t="s">
        <v>419</v>
      </c>
      <c r="D177" s="32">
        <f t="shared" si="40"/>
        <v>9476545.2699999996</v>
      </c>
      <c r="E177" s="151">
        <v>0</v>
      </c>
      <c r="F177" s="151">
        <v>0</v>
      </c>
      <c r="G177" s="151">
        <v>0</v>
      </c>
      <c r="H177" s="151">
        <v>0</v>
      </c>
      <c r="I177" s="151">
        <v>0</v>
      </c>
      <c r="J177" s="151">
        <v>0</v>
      </c>
      <c r="K177" s="152">
        <v>0</v>
      </c>
      <c r="L177" s="151">
        <v>0</v>
      </c>
      <c r="M177" s="151">
        <v>2022</v>
      </c>
      <c r="N177" s="151">
        <v>9159157.9000000004</v>
      </c>
      <c r="O177" s="151">
        <v>0</v>
      </c>
      <c r="P177" s="151">
        <v>0</v>
      </c>
      <c r="Q177" s="151">
        <v>0</v>
      </c>
      <c r="R177" s="151">
        <v>0</v>
      </c>
      <c r="S177" s="151">
        <v>0</v>
      </c>
      <c r="T177" s="151">
        <v>0</v>
      </c>
      <c r="U177" s="151">
        <v>0</v>
      </c>
      <c r="V177" s="151">
        <v>0</v>
      </c>
      <c r="W177" s="151">
        <v>0</v>
      </c>
      <c r="X177" s="151">
        <v>0</v>
      </c>
      <c r="Y177" s="151">
        <v>0</v>
      </c>
      <c r="Z177" s="151">
        <v>0</v>
      </c>
      <c r="AA177" s="151">
        <v>0</v>
      </c>
      <c r="AB177" s="151">
        <v>0</v>
      </c>
      <c r="AC177" s="151">
        <f t="shared" si="45"/>
        <v>137387.37</v>
      </c>
      <c r="AD177" s="151">
        <v>180000</v>
      </c>
      <c r="AE177" s="151">
        <v>0</v>
      </c>
      <c r="AF177" s="153">
        <v>2020</v>
      </c>
      <c r="AG177" s="153">
        <v>2020</v>
      </c>
      <c r="AH177" s="154">
        <v>2020</v>
      </c>
      <c r="AT177" s="21" t="e">
        <f t="shared" si="39"/>
        <v>#N/A</v>
      </c>
    </row>
    <row r="178" spans="1:46" ht="61.5" x14ac:dyDescent="0.85">
      <c r="A178" s="21">
        <v>1</v>
      </c>
      <c r="B178" s="70">
        <f>SUBTOTAL(103,$A$22:A178)</f>
        <v>155</v>
      </c>
      <c r="C178" s="25" t="s">
        <v>1236</v>
      </c>
      <c r="D178" s="32">
        <f t="shared" si="40"/>
        <v>1343390.3599999999</v>
      </c>
      <c r="E178" s="151">
        <v>89912.53</v>
      </c>
      <c r="F178" s="151">
        <v>0</v>
      </c>
      <c r="G178" s="151">
        <v>906881.67</v>
      </c>
      <c r="H178" s="151">
        <v>160831.74</v>
      </c>
      <c r="I178" s="151">
        <v>165911.35999999999</v>
      </c>
      <c r="J178" s="151">
        <v>0</v>
      </c>
      <c r="K178" s="152">
        <v>0</v>
      </c>
      <c r="L178" s="151">
        <v>0</v>
      </c>
      <c r="M178" s="151">
        <v>0</v>
      </c>
      <c r="N178" s="151">
        <v>0</v>
      </c>
      <c r="O178" s="151">
        <v>0</v>
      </c>
      <c r="P178" s="151">
        <v>0</v>
      </c>
      <c r="Q178" s="151">
        <v>0</v>
      </c>
      <c r="R178" s="151">
        <v>0</v>
      </c>
      <c r="S178" s="151">
        <v>0</v>
      </c>
      <c r="T178" s="151">
        <v>0</v>
      </c>
      <c r="U178" s="151">
        <v>0</v>
      </c>
      <c r="V178" s="151">
        <v>0</v>
      </c>
      <c r="W178" s="151">
        <v>0</v>
      </c>
      <c r="X178" s="151">
        <v>0</v>
      </c>
      <c r="Y178" s="151">
        <v>0</v>
      </c>
      <c r="Z178" s="151">
        <v>0</v>
      </c>
      <c r="AA178" s="151">
        <v>0</v>
      </c>
      <c r="AB178" s="151">
        <v>0</v>
      </c>
      <c r="AC178" s="151">
        <f t="shared" ref="AC178" si="46">ROUND((E178+F178+G178+H178+I178+J178)*1.5%,2)</f>
        <v>19853.060000000001</v>
      </c>
      <c r="AD178" s="151">
        <v>0</v>
      </c>
      <c r="AE178" s="151">
        <v>0</v>
      </c>
      <c r="AF178" s="153" t="s">
        <v>275</v>
      </c>
      <c r="AG178" s="153">
        <v>2020</v>
      </c>
      <c r="AH178" s="154">
        <v>2020</v>
      </c>
    </row>
    <row r="179" spans="1:46" ht="61.5" x14ac:dyDescent="0.85">
      <c r="A179" s="21">
        <v>1</v>
      </c>
      <c r="B179" s="70">
        <f>SUBTOTAL(103,$A$22:A179)</f>
        <v>156</v>
      </c>
      <c r="C179" s="25" t="s">
        <v>1237</v>
      </c>
      <c r="D179" s="32">
        <f t="shared" si="40"/>
        <v>1446700.82</v>
      </c>
      <c r="E179" s="151">
        <v>0</v>
      </c>
      <c r="F179" s="151">
        <v>0</v>
      </c>
      <c r="G179" s="151">
        <v>0</v>
      </c>
      <c r="H179" s="151">
        <v>0</v>
      </c>
      <c r="I179" s="151">
        <v>0</v>
      </c>
      <c r="J179" s="151">
        <v>0</v>
      </c>
      <c r="K179" s="152">
        <v>0</v>
      </c>
      <c r="L179" s="151">
        <v>0</v>
      </c>
      <c r="M179" s="151">
        <v>331.47</v>
      </c>
      <c r="N179" s="151">
        <v>1425321</v>
      </c>
      <c r="O179" s="151">
        <v>0</v>
      </c>
      <c r="P179" s="151">
        <v>0</v>
      </c>
      <c r="Q179" s="151">
        <v>0</v>
      </c>
      <c r="R179" s="151">
        <v>0</v>
      </c>
      <c r="S179" s="151">
        <v>0</v>
      </c>
      <c r="T179" s="151">
        <v>0</v>
      </c>
      <c r="U179" s="151">
        <v>0</v>
      </c>
      <c r="V179" s="151">
        <v>0</v>
      </c>
      <c r="W179" s="151">
        <v>0</v>
      </c>
      <c r="X179" s="151">
        <v>0</v>
      </c>
      <c r="Y179" s="151">
        <v>0</v>
      </c>
      <c r="Z179" s="151">
        <v>0</v>
      </c>
      <c r="AA179" s="151">
        <v>0</v>
      </c>
      <c r="AB179" s="151">
        <v>0</v>
      </c>
      <c r="AC179" s="151">
        <f>ROUND(N179*1.5%,2)</f>
        <v>21379.82</v>
      </c>
      <c r="AD179" s="151">
        <v>0</v>
      </c>
      <c r="AE179" s="151">
        <v>0</v>
      </c>
      <c r="AF179" s="153" t="s">
        <v>275</v>
      </c>
      <c r="AG179" s="153">
        <v>2020</v>
      </c>
      <c r="AH179" s="154">
        <v>2020</v>
      </c>
    </row>
    <row r="180" spans="1:46" ht="61.5" x14ac:dyDescent="0.85">
      <c r="A180" s="21">
        <v>1</v>
      </c>
      <c r="B180" s="70">
        <f>SUBTOTAL(103,$A$22:A180)</f>
        <v>157</v>
      </c>
      <c r="C180" s="25" t="s">
        <v>1238</v>
      </c>
      <c r="D180" s="32">
        <f t="shared" si="40"/>
        <v>2357621.9400000004</v>
      </c>
      <c r="E180" s="151">
        <v>0</v>
      </c>
      <c r="F180" s="151">
        <v>0</v>
      </c>
      <c r="G180" s="151">
        <v>0</v>
      </c>
      <c r="H180" s="151">
        <v>0</v>
      </c>
      <c r="I180" s="151">
        <v>0</v>
      </c>
      <c r="J180" s="151">
        <v>0</v>
      </c>
      <c r="K180" s="152">
        <v>0</v>
      </c>
      <c r="L180" s="151">
        <v>0</v>
      </c>
      <c r="M180" s="151">
        <v>0</v>
      </c>
      <c r="N180" s="151">
        <v>0</v>
      </c>
      <c r="O180" s="151">
        <v>0</v>
      </c>
      <c r="P180" s="151">
        <v>0</v>
      </c>
      <c r="Q180" s="151">
        <v>1171</v>
      </c>
      <c r="R180" s="151">
        <v>2322780.2400000002</v>
      </c>
      <c r="S180" s="151">
        <v>0</v>
      </c>
      <c r="T180" s="151">
        <v>0</v>
      </c>
      <c r="U180" s="151">
        <v>0</v>
      </c>
      <c r="V180" s="151">
        <v>0</v>
      </c>
      <c r="W180" s="151">
        <v>0</v>
      </c>
      <c r="X180" s="151">
        <v>0</v>
      </c>
      <c r="Y180" s="151">
        <v>0</v>
      </c>
      <c r="Z180" s="151">
        <v>0</v>
      </c>
      <c r="AA180" s="151">
        <v>0</v>
      </c>
      <c r="AB180" s="151">
        <v>0</v>
      </c>
      <c r="AC180" s="151">
        <f>ROUND(R180*1.5%,2)</f>
        <v>34841.699999999997</v>
      </c>
      <c r="AD180" s="151">
        <v>0</v>
      </c>
      <c r="AE180" s="151">
        <v>0</v>
      </c>
      <c r="AF180" s="153" t="s">
        <v>275</v>
      </c>
      <c r="AG180" s="153">
        <v>2020</v>
      </c>
      <c r="AH180" s="154">
        <v>2020</v>
      </c>
    </row>
    <row r="181" spans="1:46" ht="61.5" x14ac:dyDescent="0.85">
      <c r="A181" s="21">
        <v>1</v>
      </c>
      <c r="B181" s="70">
        <f>SUBTOTAL(103,$A$22:A181)</f>
        <v>158</v>
      </c>
      <c r="C181" s="25" t="s">
        <v>1239</v>
      </c>
      <c r="D181" s="32">
        <f t="shared" si="40"/>
        <v>4006501.16</v>
      </c>
      <c r="E181" s="151">
        <v>0</v>
      </c>
      <c r="F181" s="151">
        <v>0</v>
      </c>
      <c r="G181" s="151">
        <v>0</v>
      </c>
      <c r="H181" s="151">
        <v>0</v>
      </c>
      <c r="I181" s="151">
        <v>0</v>
      </c>
      <c r="J181" s="151">
        <v>0</v>
      </c>
      <c r="K181" s="152">
        <v>2</v>
      </c>
      <c r="L181" s="151">
        <v>4006501.16</v>
      </c>
      <c r="M181" s="151">
        <v>0</v>
      </c>
      <c r="N181" s="151">
        <v>0</v>
      </c>
      <c r="O181" s="151">
        <v>0</v>
      </c>
      <c r="P181" s="151">
        <v>0</v>
      </c>
      <c r="Q181" s="151">
        <v>0</v>
      </c>
      <c r="R181" s="151">
        <v>0</v>
      </c>
      <c r="S181" s="151">
        <v>0</v>
      </c>
      <c r="T181" s="151">
        <v>0</v>
      </c>
      <c r="U181" s="151">
        <v>0</v>
      </c>
      <c r="V181" s="151">
        <v>0</v>
      </c>
      <c r="W181" s="151">
        <v>0</v>
      </c>
      <c r="X181" s="151">
        <v>0</v>
      </c>
      <c r="Y181" s="151">
        <v>0</v>
      </c>
      <c r="Z181" s="151">
        <v>0</v>
      </c>
      <c r="AA181" s="151">
        <v>0</v>
      </c>
      <c r="AB181" s="151">
        <v>0</v>
      </c>
      <c r="AC181" s="151">
        <v>0</v>
      </c>
      <c r="AD181" s="151">
        <v>0</v>
      </c>
      <c r="AE181" s="151">
        <v>0</v>
      </c>
      <c r="AF181" s="153" t="s">
        <v>275</v>
      </c>
      <c r="AG181" s="153">
        <v>2020</v>
      </c>
      <c r="AH181" s="154" t="s">
        <v>275</v>
      </c>
    </row>
    <row r="182" spans="1:46" ht="61.5" x14ac:dyDescent="0.85">
      <c r="A182" s="21">
        <v>1</v>
      </c>
      <c r="B182" s="70">
        <f>SUBTOTAL(103,$A$22:A182)</f>
        <v>159</v>
      </c>
      <c r="C182" s="25" t="s">
        <v>1240</v>
      </c>
      <c r="D182" s="32">
        <f t="shared" si="40"/>
        <v>243797.76000000001</v>
      </c>
      <c r="E182" s="151">
        <v>0</v>
      </c>
      <c r="F182" s="151">
        <v>0</v>
      </c>
      <c r="G182" s="151">
        <v>0</v>
      </c>
      <c r="H182" s="151">
        <v>0</v>
      </c>
      <c r="I182" s="151">
        <v>0</v>
      </c>
      <c r="J182" s="151">
        <v>0</v>
      </c>
      <c r="K182" s="152">
        <v>0</v>
      </c>
      <c r="L182" s="151">
        <v>0</v>
      </c>
      <c r="M182" s="151">
        <v>0</v>
      </c>
      <c r="N182" s="151">
        <v>0</v>
      </c>
      <c r="O182" s="151">
        <v>0</v>
      </c>
      <c r="P182" s="151">
        <v>0</v>
      </c>
      <c r="Q182" s="151">
        <v>0</v>
      </c>
      <c r="R182" s="151">
        <v>0</v>
      </c>
      <c r="S182" s="151">
        <v>18.7</v>
      </c>
      <c r="T182" s="151">
        <v>240194.84</v>
      </c>
      <c r="U182" s="151">
        <v>0</v>
      </c>
      <c r="V182" s="151">
        <v>0</v>
      </c>
      <c r="W182" s="151">
        <v>0</v>
      </c>
      <c r="X182" s="151">
        <v>0</v>
      </c>
      <c r="Y182" s="151">
        <v>0</v>
      </c>
      <c r="Z182" s="151">
        <v>0</v>
      </c>
      <c r="AA182" s="151">
        <v>0</v>
      </c>
      <c r="AB182" s="151">
        <v>0</v>
      </c>
      <c r="AC182" s="151">
        <f>ROUND(T182*1.5%,2)</f>
        <v>3602.92</v>
      </c>
      <c r="AD182" s="151">
        <v>0</v>
      </c>
      <c r="AE182" s="151">
        <v>0</v>
      </c>
      <c r="AF182" s="153" t="s">
        <v>275</v>
      </c>
      <c r="AG182" s="153">
        <v>2020</v>
      </c>
      <c r="AH182" s="154">
        <v>2020</v>
      </c>
    </row>
    <row r="183" spans="1:46" ht="61.5" x14ac:dyDescent="0.85">
      <c r="A183" s="21">
        <v>1</v>
      </c>
      <c r="B183" s="70">
        <f>SUBTOTAL(103,$A$22:A183)</f>
        <v>160</v>
      </c>
      <c r="C183" s="25" t="s">
        <v>1241</v>
      </c>
      <c r="D183" s="32">
        <f t="shared" si="40"/>
        <v>3309888.6199999996</v>
      </c>
      <c r="E183" s="151">
        <v>0</v>
      </c>
      <c r="F183" s="151">
        <v>0</v>
      </c>
      <c r="G183" s="151">
        <v>0</v>
      </c>
      <c r="H183" s="151">
        <v>0</v>
      </c>
      <c r="I183" s="151">
        <v>0</v>
      </c>
      <c r="J183" s="151">
        <v>0</v>
      </c>
      <c r="K183" s="152">
        <v>0</v>
      </c>
      <c r="L183" s="151">
        <v>0</v>
      </c>
      <c r="M183" s="151">
        <v>0</v>
      </c>
      <c r="N183" s="151">
        <v>0</v>
      </c>
      <c r="O183" s="151">
        <v>943</v>
      </c>
      <c r="P183" s="151">
        <v>3260974.01</v>
      </c>
      <c r="Q183" s="151">
        <v>0</v>
      </c>
      <c r="R183" s="151">
        <v>0</v>
      </c>
      <c r="S183" s="151">
        <v>0</v>
      </c>
      <c r="T183" s="151">
        <v>0</v>
      </c>
      <c r="U183" s="151">
        <v>0</v>
      </c>
      <c r="V183" s="151">
        <v>0</v>
      </c>
      <c r="W183" s="151">
        <v>0</v>
      </c>
      <c r="X183" s="151">
        <v>0</v>
      </c>
      <c r="Y183" s="151">
        <v>0</v>
      </c>
      <c r="Z183" s="151">
        <v>0</v>
      </c>
      <c r="AA183" s="151">
        <v>0</v>
      </c>
      <c r="AB183" s="151">
        <v>0</v>
      </c>
      <c r="AC183" s="151">
        <f>ROUND(P183*1.5%,2)</f>
        <v>48914.61</v>
      </c>
      <c r="AD183" s="151">
        <v>0</v>
      </c>
      <c r="AE183" s="151">
        <v>0</v>
      </c>
      <c r="AF183" s="153" t="s">
        <v>275</v>
      </c>
      <c r="AG183" s="153">
        <v>2020</v>
      </c>
      <c r="AH183" s="154">
        <v>2020</v>
      </c>
    </row>
    <row r="184" spans="1:46" ht="61.5" x14ac:dyDescent="0.85">
      <c r="A184" s="21">
        <v>1</v>
      </c>
      <c r="B184" s="70">
        <f>SUBTOTAL(103,$A$22:A184)</f>
        <v>161</v>
      </c>
      <c r="C184" s="25" t="s">
        <v>1242</v>
      </c>
      <c r="D184" s="32">
        <f t="shared" si="40"/>
        <v>4006501.15</v>
      </c>
      <c r="E184" s="151">
        <v>0</v>
      </c>
      <c r="F184" s="151">
        <v>0</v>
      </c>
      <c r="G184" s="151">
        <v>0</v>
      </c>
      <c r="H184" s="151">
        <v>0</v>
      </c>
      <c r="I184" s="151">
        <v>0</v>
      </c>
      <c r="J184" s="151">
        <v>0</v>
      </c>
      <c r="K184" s="152">
        <v>2</v>
      </c>
      <c r="L184" s="151">
        <v>4006501.15</v>
      </c>
      <c r="M184" s="151">
        <v>0</v>
      </c>
      <c r="N184" s="151">
        <v>0</v>
      </c>
      <c r="O184" s="151">
        <v>0</v>
      </c>
      <c r="P184" s="151">
        <v>0</v>
      </c>
      <c r="Q184" s="151">
        <v>0</v>
      </c>
      <c r="R184" s="151">
        <v>0</v>
      </c>
      <c r="S184" s="151">
        <v>0</v>
      </c>
      <c r="T184" s="151">
        <v>0</v>
      </c>
      <c r="U184" s="151">
        <v>0</v>
      </c>
      <c r="V184" s="151">
        <v>0</v>
      </c>
      <c r="W184" s="151">
        <v>0</v>
      </c>
      <c r="X184" s="151">
        <v>0</v>
      </c>
      <c r="Y184" s="151">
        <v>0</v>
      </c>
      <c r="Z184" s="151">
        <v>0</v>
      </c>
      <c r="AA184" s="151">
        <v>0</v>
      </c>
      <c r="AB184" s="151">
        <v>0</v>
      </c>
      <c r="AC184" s="151">
        <v>0</v>
      </c>
      <c r="AD184" s="151">
        <v>0</v>
      </c>
      <c r="AE184" s="151">
        <v>0</v>
      </c>
      <c r="AF184" s="153" t="s">
        <v>275</v>
      </c>
      <c r="AG184" s="153">
        <v>2020</v>
      </c>
      <c r="AH184" s="154" t="s">
        <v>275</v>
      </c>
    </row>
    <row r="185" spans="1:46" ht="61.5" x14ac:dyDescent="0.85">
      <c r="A185" s="21">
        <v>1</v>
      </c>
      <c r="B185" s="70">
        <f>SUBTOTAL(103,$A$22:A185)</f>
        <v>162</v>
      </c>
      <c r="C185" s="25" t="s">
        <v>1243</v>
      </c>
      <c r="D185" s="32">
        <f t="shared" si="40"/>
        <v>3186819.12</v>
      </c>
      <c r="E185" s="151">
        <v>0</v>
      </c>
      <c r="F185" s="151">
        <v>0</v>
      </c>
      <c r="G185" s="151">
        <v>3139723.27</v>
      </c>
      <c r="H185" s="151">
        <v>0</v>
      </c>
      <c r="I185" s="151">
        <v>0</v>
      </c>
      <c r="J185" s="151">
        <v>0</v>
      </c>
      <c r="K185" s="152">
        <v>0</v>
      </c>
      <c r="L185" s="151">
        <v>0</v>
      </c>
      <c r="M185" s="151">
        <v>0</v>
      </c>
      <c r="N185" s="151">
        <v>0</v>
      </c>
      <c r="O185" s="151">
        <v>0</v>
      </c>
      <c r="P185" s="151">
        <v>0</v>
      </c>
      <c r="Q185" s="151">
        <v>0</v>
      </c>
      <c r="R185" s="151">
        <v>0</v>
      </c>
      <c r="S185" s="151">
        <v>0</v>
      </c>
      <c r="T185" s="151">
        <v>0</v>
      </c>
      <c r="U185" s="151">
        <v>0</v>
      </c>
      <c r="V185" s="151">
        <v>0</v>
      </c>
      <c r="W185" s="151">
        <v>0</v>
      </c>
      <c r="X185" s="151">
        <v>0</v>
      </c>
      <c r="Y185" s="151">
        <v>0</v>
      </c>
      <c r="Z185" s="151">
        <v>0</v>
      </c>
      <c r="AA185" s="151">
        <v>0</v>
      </c>
      <c r="AB185" s="151">
        <v>0</v>
      </c>
      <c r="AC185" s="151">
        <f t="shared" ref="AC185:AC188" si="47">ROUND((E185+F185+G185+H185+I185+J185)*1.5%,2)</f>
        <v>47095.85</v>
      </c>
      <c r="AD185" s="151">
        <v>0</v>
      </c>
      <c r="AE185" s="151">
        <v>0</v>
      </c>
      <c r="AF185" s="153" t="s">
        <v>275</v>
      </c>
      <c r="AG185" s="153">
        <v>2020</v>
      </c>
      <c r="AH185" s="154">
        <v>2020</v>
      </c>
    </row>
    <row r="186" spans="1:46" ht="61.5" x14ac:dyDescent="0.85">
      <c r="A186" s="21">
        <v>1</v>
      </c>
      <c r="B186" s="70">
        <f>SUBTOTAL(103,$A$22:A186)</f>
        <v>163</v>
      </c>
      <c r="C186" s="25" t="s">
        <v>1244</v>
      </c>
      <c r="D186" s="32">
        <f t="shared" si="40"/>
        <v>1122823.58</v>
      </c>
      <c r="E186" s="151">
        <v>90109.97</v>
      </c>
      <c r="F186" s="151">
        <v>0</v>
      </c>
      <c r="G186" s="151">
        <v>690678.04</v>
      </c>
      <c r="H186" s="151">
        <v>144250.81</v>
      </c>
      <c r="I186" s="151">
        <v>181191.31</v>
      </c>
      <c r="J186" s="151">
        <v>0</v>
      </c>
      <c r="K186" s="152">
        <v>0</v>
      </c>
      <c r="L186" s="151">
        <v>0</v>
      </c>
      <c r="M186" s="151">
        <v>0</v>
      </c>
      <c r="N186" s="151">
        <v>0</v>
      </c>
      <c r="O186" s="151">
        <v>0</v>
      </c>
      <c r="P186" s="151">
        <v>0</v>
      </c>
      <c r="Q186" s="151">
        <v>0</v>
      </c>
      <c r="R186" s="151">
        <v>0</v>
      </c>
      <c r="S186" s="151">
        <v>0</v>
      </c>
      <c r="T186" s="151">
        <v>0</v>
      </c>
      <c r="U186" s="151">
        <v>0</v>
      </c>
      <c r="V186" s="151">
        <v>0</v>
      </c>
      <c r="W186" s="151">
        <v>0</v>
      </c>
      <c r="X186" s="151">
        <v>0</v>
      </c>
      <c r="Y186" s="151">
        <v>0</v>
      </c>
      <c r="Z186" s="151">
        <v>0</v>
      </c>
      <c r="AA186" s="151">
        <v>0</v>
      </c>
      <c r="AB186" s="151">
        <v>0</v>
      </c>
      <c r="AC186" s="151">
        <f t="shared" si="47"/>
        <v>16593.45</v>
      </c>
      <c r="AD186" s="151">
        <v>0</v>
      </c>
      <c r="AE186" s="151">
        <v>0</v>
      </c>
      <c r="AF186" s="153" t="s">
        <v>275</v>
      </c>
      <c r="AG186" s="153">
        <v>2020</v>
      </c>
      <c r="AH186" s="154">
        <v>2020</v>
      </c>
    </row>
    <row r="187" spans="1:46" ht="61.5" x14ac:dyDescent="0.85">
      <c r="A187" s="21">
        <v>1</v>
      </c>
      <c r="B187" s="70">
        <f>SUBTOTAL(103,$A$22:A187)</f>
        <v>164</v>
      </c>
      <c r="C187" s="25" t="s">
        <v>1245</v>
      </c>
      <c r="D187" s="32">
        <f t="shared" si="40"/>
        <v>464475.87</v>
      </c>
      <c r="E187" s="151">
        <v>0</v>
      </c>
      <c r="F187" s="151">
        <v>0</v>
      </c>
      <c r="G187" s="151">
        <v>0</v>
      </c>
      <c r="H187" s="151">
        <v>0</v>
      </c>
      <c r="I187" s="151">
        <v>457611.69</v>
      </c>
      <c r="J187" s="151">
        <v>0</v>
      </c>
      <c r="K187" s="152">
        <v>0</v>
      </c>
      <c r="L187" s="151">
        <v>0</v>
      </c>
      <c r="M187" s="151">
        <v>0</v>
      </c>
      <c r="N187" s="151">
        <v>0</v>
      </c>
      <c r="O187" s="151">
        <v>0</v>
      </c>
      <c r="P187" s="151">
        <v>0</v>
      </c>
      <c r="Q187" s="151">
        <v>0</v>
      </c>
      <c r="R187" s="151">
        <v>0</v>
      </c>
      <c r="S187" s="151">
        <v>0</v>
      </c>
      <c r="T187" s="151">
        <v>0</v>
      </c>
      <c r="U187" s="151">
        <v>0</v>
      </c>
      <c r="V187" s="151">
        <v>0</v>
      </c>
      <c r="W187" s="151">
        <v>0</v>
      </c>
      <c r="X187" s="151">
        <v>0</v>
      </c>
      <c r="Y187" s="151">
        <v>0</v>
      </c>
      <c r="Z187" s="151">
        <v>0</v>
      </c>
      <c r="AA187" s="151">
        <v>0</v>
      </c>
      <c r="AB187" s="151">
        <v>0</v>
      </c>
      <c r="AC187" s="151">
        <f t="shared" si="47"/>
        <v>6864.18</v>
      </c>
      <c r="AD187" s="151">
        <v>0</v>
      </c>
      <c r="AE187" s="151">
        <v>0</v>
      </c>
      <c r="AF187" s="153" t="s">
        <v>275</v>
      </c>
      <c r="AG187" s="153">
        <v>2020</v>
      </c>
      <c r="AH187" s="154">
        <v>2020</v>
      </c>
    </row>
    <row r="188" spans="1:46" ht="61.5" x14ac:dyDescent="0.85">
      <c r="A188" s="21">
        <v>1</v>
      </c>
      <c r="B188" s="70">
        <f>SUBTOTAL(103,$A$22:A188)</f>
        <v>165</v>
      </c>
      <c r="C188" s="25" t="s">
        <v>1246</v>
      </c>
      <c r="D188" s="32">
        <f t="shared" si="40"/>
        <v>198184.86</v>
      </c>
      <c r="E188" s="151">
        <v>0</v>
      </c>
      <c r="F188" s="151">
        <v>0</v>
      </c>
      <c r="G188" s="151">
        <v>0</v>
      </c>
      <c r="H188" s="151">
        <v>0</v>
      </c>
      <c r="I188" s="151">
        <v>195256.02</v>
      </c>
      <c r="J188" s="151">
        <v>0</v>
      </c>
      <c r="K188" s="152">
        <v>0</v>
      </c>
      <c r="L188" s="151">
        <v>0</v>
      </c>
      <c r="M188" s="151">
        <v>0</v>
      </c>
      <c r="N188" s="151">
        <v>0</v>
      </c>
      <c r="O188" s="151">
        <v>0</v>
      </c>
      <c r="P188" s="151">
        <v>0</v>
      </c>
      <c r="Q188" s="151">
        <v>0</v>
      </c>
      <c r="R188" s="151">
        <v>0</v>
      </c>
      <c r="S188" s="151">
        <v>0</v>
      </c>
      <c r="T188" s="151">
        <v>0</v>
      </c>
      <c r="U188" s="151">
        <v>0</v>
      </c>
      <c r="V188" s="151">
        <v>0</v>
      </c>
      <c r="W188" s="151">
        <v>0</v>
      </c>
      <c r="X188" s="151">
        <v>0</v>
      </c>
      <c r="Y188" s="151">
        <v>0</v>
      </c>
      <c r="Z188" s="151">
        <v>0</v>
      </c>
      <c r="AA188" s="151">
        <v>0</v>
      </c>
      <c r="AB188" s="151">
        <v>0</v>
      </c>
      <c r="AC188" s="151">
        <f t="shared" si="47"/>
        <v>2928.84</v>
      </c>
      <c r="AD188" s="151">
        <v>0</v>
      </c>
      <c r="AE188" s="151">
        <v>0</v>
      </c>
      <c r="AF188" s="153" t="s">
        <v>275</v>
      </c>
      <c r="AG188" s="153">
        <v>2020</v>
      </c>
      <c r="AH188" s="154">
        <v>2020</v>
      </c>
    </row>
    <row r="189" spans="1:46" ht="61.5" x14ac:dyDescent="0.85">
      <c r="A189" s="21">
        <v>1</v>
      </c>
      <c r="B189" s="70">
        <f>SUBTOTAL(103,$A$22:A189)</f>
        <v>166</v>
      </c>
      <c r="C189" s="25" t="s">
        <v>1247</v>
      </c>
      <c r="D189" s="32">
        <f t="shared" si="40"/>
        <v>2028570.37</v>
      </c>
      <c r="E189" s="151">
        <v>0</v>
      </c>
      <c r="F189" s="151">
        <v>0</v>
      </c>
      <c r="G189" s="151">
        <v>0</v>
      </c>
      <c r="H189" s="151">
        <v>0</v>
      </c>
      <c r="I189" s="151">
        <v>0</v>
      </c>
      <c r="J189" s="151">
        <v>0</v>
      </c>
      <c r="K189" s="152">
        <v>1</v>
      </c>
      <c r="L189" s="151">
        <v>2028570.37</v>
      </c>
      <c r="M189" s="151">
        <v>0</v>
      </c>
      <c r="N189" s="151">
        <v>0</v>
      </c>
      <c r="O189" s="151">
        <v>0</v>
      </c>
      <c r="P189" s="151">
        <v>0</v>
      </c>
      <c r="Q189" s="151">
        <v>0</v>
      </c>
      <c r="R189" s="151">
        <v>0</v>
      </c>
      <c r="S189" s="151">
        <v>0</v>
      </c>
      <c r="T189" s="151">
        <v>0</v>
      </c>
      <c r="U189" s="151">
        <v>0</v>
      </c>
      <c r="V189" s="151">
        <v>0</v>
      </c>
      <c r="W189" s="151">
        <v>0</v>
      </c>
      <c r="X189" s="151">
        <v>0</v>
      </c>
      <c r="Y189" s="151">
        <v>0</v>
      </c>
      <c r="Z189" s="151">
        <v>0</v>
      </c>
      <c r="AA189" s="151">
        <v>0</v>
      </c>
      <c r="AB189" s="151">
        <v>0</v>
      </c>
      <c r="AC189" s="151">
        <v>0</v>
      </c>
      <c r="AD189" s="151">
        <v>0</v>
      </c>
      <c r="AE189" s="151">
        <v>0</v>
      </c>
      <c r="AF189" s="153" t="s">
        <v>275</v>
      </c>
      <c r="AG189" s="153">
        <v>2020</v>
      </c>
      <c r="AH189" s="154" t="s">
        <v>275</v>
      </c>
    </row>
    <row r="190" spans="1:46" ht="61.5" x14ac:dyDescent="0.85">
      <c r="A190" s="21">
        <v>1</v>
      </c>
      <c r="B190" s="70">
        <f>SUBTOTAL(103,$A$22:A190)</f>
        <v>167</v>
      </c>
      <c r="C190" s="25" t="s">
        <v>1248</v>
      </c>
      <c r="D190" s="32">
        <f t="shared" si="40"/>
        <v>2028570.37</v>
      </c>
      <c r="E190" s="151">
        <v>0</v>
      </c>
      <c r="F190" s="151">
        <v>0</v>
      </c>
      <c r="G190" s="151">
        <v>0</v>
      </c>
      <c r="H190" s="151">
        <v>0</v>
      </c>
      <c r="I190" s="151">
        <v>0</v>
      </c>
      <c r="J190" s="151">
        <v>0</v>
      </c>
      <c r="K190" s="152">
        <v>1</v>
      </c>
      <c r="L190" s="151">
        <v>2028570.37</v>
      </c>
      <c r="M190" s="151">
        <v>0</v>
      </c>
      <c r="N190" s="151">
        <v>0</v>
      </c>
      <c r="O190" s="151">
        <v>0</v>
      </c>
      <c r="P190" s="151">
        <v>0</v>
      </c>
      <c r="Q190" s="151">
        <v>0</v>
      </c>
      <c r="R190" s="151">
        <v>0</v>
      </c>
      <c r="S190" s="151">
        <v>0</v>
      </c>
      <c r="T190" s="151">
        <v>0</v>
      </c>
      <c r="U190" s="151">
        <v>0</v>
      </c>
      <c r="V190" s="151">
        <v>0</v>
      </c>
      <c r="W190" s="151">
        <v>0</v>
      </c>
      <c r="X190" s="151">
        <v>0</v>
      </c>
      <c r="Y190" s="151">
        <v>0</v>
      </c>
      <c r="Z190" s="151">
        <v>0</v>
      </c>
      <c r="AA190" s="151">
        <v>0</v>
      </c>
      <c r="AB190" s="151">
        <v>0</v>
      </c>
      <c r="AC190" s="151">
        <v>0</v>
      </c>
      <c r="AD190" s="151">
        <v>0</v>
      </c>
      <c r="AE190" s="151">
        <v>0</v>
      </c>
      <c r="AF190" s="153" t="s">
        <v>275</v>
      </c>
      <c r="AG190" s="153">
        <v>2020</v>
      </c>
      <c r="AH190" s="154" t="s">
        <v>275</v>
      </c>
    </row>
    <row r="191" spans="1:46" ht="61.5" x14ac:dyDescent="0.85">
      <c r="A191" s="21">
        <v>1</v>
      </c>
      <c r="B191" s="70">
        <f>SUBTOTAL(103,$A$22:A191)</f>
        <v>168</v>
      </c>
      <c r="C191" s="25" t="s">
        <v>1249</v>
      </c>
      <c r="D191" s="32">
        <f t="shared" si="40"/>
        <v>8774604.5999999996</v>
      </c>
      <c r="E191" s="151">
        <v>0</v>
      </c>
      <c r="F191" s="151">
        <v>0</v>
      </c>
      <c r="G191" s="151">
        <v>0</v>
      </c>
      <c r="H191" s="151">
        <v>0</v>
      </c>
      <c r="I191" s="151">
        <v>0</v>
      </c>
      <c r="J191" s="151">
        <v>0</v>
      </c>
      <c r="K191" s="152">
        <v>4</v>
      </c>
      <c r="L191" s="151">
        <v>8774604.5999999996</v>
      </c>
      <c r="M191" s="151">
        <v>0</v>
      </c>
      <c r="N191" s="151">
        <v>0</v>
      </c>
      <c r="O191" s="151">
        <v>0</v>
      </c>
      <c r="P191" s="151">
        <v>0</v>
      </c>
      <c r="Q191" s="151">
        <v>0</v>
      </c>
      <c r="R191" s="151">
        <v>0</v>
      </c>
      <c r="S191" s="151">
        <v>0</v>
      </c>
      <c r="T191" s="151">
        <v>0</v>
      </c>
      <c r="U191" s="151">
        <v>0</v>
      </c>
      <c r="V191" s="151">
        <v>0</v>
      </c>
      <c r="W191" s="151">
        <v>0</v>
      </c>
      <c r="X191" s="151">
        <v>0</v>
      </c>
      <c r="Y191" s="151">
        <v>0</v>
      </c>
      <c r="Z191" s="151">
        <v>0</v>
      </c>
      <c r="AA191" s="151">
        <v>0</v>
      </c>
      <c r="AB191" s="151">
        <v>0</v>
      </c>
      <c r="AC191" s="151">
        <v>0</v>
      </c>
      <c r="AD191" s="151">
        <v>0</v>
      </c>
      <c r="AE191" s="151">
        <v>0</v>
      </c>
      <c r="AF191" s="153" t="s">
        <v>275</v>
      </c>
      <c r="AG191" s="153">
        <v>2020</v>
      </c>
      <c r="AH191" s="154" t="s">
        <v>275</v>
      </c>
    </row>
    <row r="192" spans="1:46" ht="61.5" x14ac:dyDescent="0.85">
      <c r="A192" s="21">
        <v>1</v>
      </c>
      <c r="B192" s="70">
        <f>SUBTOTAL(103,$A$22:A192)</f>
        <v>169</v>
      </c>
      <c r="C192" s="25" t="s">
        <v>1375</v>
      </c>
      <c r="D192" s="32">
        <f t="shared" si="40"/>
        <v>3013015.67</v>
      </c>
      <c r="E192" s="151">
        <v>0</v>
      </c>
      <c r="F192" s="151">
        <v>0</v>
      </c>
      <c r="G192" s="151">
        <v>2968488.34</v>
      </c>
      <c r="H192" s="151">
        <v>0</v>
      </c>
      <c r="I192" s="151">
        <v>0</v>
      </c>
      <c r="J192" s="151">
        <v>0</v>
      </c>
      <c r="K192" s="152">
        <v>0</v>
      </c>
      <c r="L192" s="151">
        <v>0</v>
      </c>
      <c r="M192" s="151">
        <v>0</v>
      </c>
      <c r="N192" s="151">
        <v>0</v>
      </c>
      <c r="O192" s="151">
        <v>0</v>
      </c>
      <c r="P192" s="151">
        <v>0</v>
      </c>
      <c r="Q192" s="151">
        <v>0</v>
      </c>
      <c r="R192" s="151">
        <v>0</v>
      </c>
      <c r="S192" s="151">
        <v>0</v>
      </c>
      <c r="T192" s="151">
        <v>0</v>
      </c>
      <c r="U192" s="151">
        <v>0</v>
      </c>
      <c r="V192" s="151">
        <v>0</v>
      </c>
      <c r="W192" s="151">
        <v>0</v>
      </c>
      <c r="X192" s="151">
        <v>0</v>
      </c>
      <c r="Y192" s="151">
        <v>0</v>
      </c>
      <c r="Z192" s="151">
        <v>0</v>
      </c>
      <c r="AA192" s="151">
        <v>0</v>
      </c>
      <c r="AB192" s="151">
        <v>0</v>
      </c>
      <c r="AC192" s="151">
        <f t="shared" ref="AC192" si="48">ROUND((E192+F192+G192+H192+I192+J192)*1.5%,2)</f>
        <v>44527.33</v>
      </c>
      <c r="AD192" s="151">
        <v>0</v>
      </c>
      <c r="AE192" s="151">
        <v>0</v>
      </c>
      <c r="AF192" s="153" t="s">
        <v>275</v>
      </c>
      <c r="AG192" s="153">
        <v>2020</v>
      </c>
      <c r="AH192" s="154">
        <v>2020</v>
      </c>
    </row>
    <row r="193" spans="1:75" ht="61.5" x14ac:dyDescent="0.85">
      <c r="A193" s="21">
        <v>1</v>
      </c>
      <c r="B193" s="70">
        <f>SUBTOTAL(103,$A$22:A193)</f>
        <v>170</v>
      </c>
      <c r="C193" s="25" t="s">
        <v>1388</v>
      </c>
      <c r="D193" s="32">
        <f t="shared" si="40"/>
        <v>13530548.279999999</v>
      </c>
      <c r="E193" s="151">
        <v>0</v>
      </c>
      <c r="F193" s="151">
        <v>0</v>
      </c>
      <c r="G193" s="151">
        <v>0</v>
      </c>
      <c r="H193" s="151">
        <v>0</v>
      </c>
      <c r="I193" s="151">
        <v>0</v>
      </c>
      <c r="J193" s="151">
        <v>0</v>
      </c>
      <c r="K193" s="152">
        <v>0</v>
      </c>
      <c r="L193" s="151">
        <v>0</v>
      </c>
      <c r="M193" s="151">
        <v>0</v>
      </c>
      <c r="N193" s="151">
        <v>0</v>
      </c>
      <c r="O193" s="151">
        <v>0</v>
      </c>
      <c r="P193" s="151">
        <v>0</v>
      </c>
      <c r="Q193" s="151">
        <v>2524</v>
      </c>
      <c r="R193" s="151">
        <v>13084284.02</v>
      </c>
      <c r="S193" s="151">
        <v>0</v>
      </c>
      <c r="T193" s="151">
        <v>0</v>
      </c>
      <c r="U193" s="151">
        <v>0</v>
      </c>
      <c r="V193" s="151">
        <v>0</v>
      </c>
      <c r="W193" s="151">
        <v>0</v>
      </c>
      <c r="X193" s="151">
        <v>0</v>
      </c>
      <c r="Y193" s="151">
        <v>0</v>
      </c>
      <c r="Z193" s="151">
        <v>0</v>
      </c>
      <c r="AA193" s="151">
        <v>0</v>
      </c>
      <c r="AB193" s="151">
        <v>0</v>
      </c>
      <c r="AC193" s="151">
        <f>ROUND(R193*1.5%,2)</f>
        <v>196264.26</v>
      </c>
      <c r="AD193" s="151">
        <v>250000</v>
      </c>
      <c r="AE193" s="151"/>
      <c r="AF193" s="153">
        <v>2020</v>
      </c>
      <c r="AG193" s="153">
        <v>2020</v>
      </c>
      <c r="AH193" s="153">
        <v>2020</v>
      </c>
      <c r="AI193" s="35">
        <v>2020</v>
      </c>
      <c r="AJ193" s="35">
        <v>2020</v>
      </c>
      <c r="AK193" s="35">
        <v>2020</v>
      </c>
      <c r="AL193" s="35">
        <v>2020</v>
      </c>
      <c r="AM193" s="35">
        <v>2020</v>
      </c>
      <c r="AN193" s="35">
        <v>2020</v>
      </c>
      <c r="AO193" s="35">
        <v>2020</v>
      </c>
      <c r="AP193" s="35">
        <v>2020</v>
      </c>
      <c r="AQ193" s="35">
        <v>2020</v>
      </c>
      <c r="AR193" s="35">
        <v>2020</v>
      </c>
      <c r="AS193" s="35">
        <v>2020</v>
      </c>
      <c r="AT193" s="35">
        <v>2020</v>
      </c>
      <c r="AU193" s="35">
        <v>2020</v>
      </c>
      <c r="AV193" s="35">
        <v>2020</v>
      </c>
      <c r="AW193" s="35">
        <v>2020</v>
      </c>
      <c r="AX193" s="35">
        <v>2020</v>
      </c>
      <c r="AY193" s="35">
        <v>2020</v>
      </c>
      <c r="AZ193" s="35">
        <v>2020</v>
      </c>
      <c r="BA193" s="35">
        <v>2020</v>
      </c>
      <c r="BB193" s="35">
        <v>2020</v>
      </c>
      <c r="BC193" s="35">
        <v>2020</v>
      </c>
      <c r="BD193" s="35">
        <v>2020</v>
      </c>
      <c r="BE193" s="35">
        <v>2020</v>
      </c>
      <c r="BF193" s="35">
        <v>2020</v>
      </c>
      <c r="BG193" s="35">
        <v>2020</v>
      </c>
      <c r="BH193" s="35">
        <v>2020</v>
      </c>
      <c r="BI193" s="35">
        <v>2020</v>
      </c>
      <c r="BJ193" s="35">
        <v>2020</v>
      </c>
      <c r="BK193" s="35">
        <v>2020</v>
      </c>
      <c r="BL193" s="35">
        <v>2020</v>
      </c>
      <c r="BM193" s="35">
        <v>2020</v>
      </c>
      <c r="BN193" s="35">
        <v>2020</v>
      </c>
      <c r="BO193" s="35">
        <v>2020</v>
      </c>
      <c r="BP193" s="35">
        <v>2020</v>
      </c>
      <c r="BQ193" s="35">
        <v>2020</v>
      </c>
      <c r="BR193" s="35">
        <v>2020</v>
      </c>
      <c r="BS193" s="35">
        <v>2020</v>
      </c>
      <c r="BT193" s="35">
        <v>2020</v>
      </c>
      <c r="BU193" s="35">
        <v>2020</v>
      </c>
      <c r="BV193" s="35">
        <v>2020</v>
      </c>
      <c r="BW193" s="35">
        <v>2020</v>
      </c>
    </row>
    <row r="194" spans="1:75" ht="61.5" x14ac:dyDescent="0.85">
      <c r="A194" s="21">
        <v>1</v>
      </c>
      <c r="B194" s="70">
        <f>SUBTOTAL(103,$A$22:A194)</f>
        <v>171</v>
      </c>
      <c r="C194" s="25" t="s">
        <v>1389</v>
      </c>
      <c r="D194" s="32">
        <f t="shared" si="40"/>
        <v>3278000</v>
      </c>
      <c r="E194" s="151">
        <v>0</v>
      </c>
      <c r="F194" s="151">
        <v>0</v>
      </c>
      <c r="G194" s="151">
        <v>0</v>
      </c>
      <c r="H194" s="151">
        <v>0</v>
      </c>
      <c r="I194" s="151">
        <v>0</v>
      </c>
      <c r="J194" s="151">
        <v>0</v>
      </c>
      <c r="K194" s="152">
        <v>0</v>
      </c>
      <c r="L194" s="151">
        <v>0</v>
      </c>
      <c r="M194" s="151">
        <v>590</v>
      </c>
      <c r="N194" s="151">
        <v>3111330.05</v>
      </c>
      <c r="O194" s="151">
        <v>0</v>
      </c>
      <c r="P194" s="151">
        <v>0</v>
      </c>
      <c r="Q194" s="151">
        <v>0</v>
      </c>
      <c r="R194" s="151">
        <v>0</v>
      </c>
      <c r="S194" s="151">
        <v>0</v>
      </c>
      <c r="T194" s="151">
        <v>0</v>
      </c>
      <c r="U194" s="151">
        <v>0</v>
      </c>
      <c r="V194" s="151">
        <v>0</v>
      </c>
      <c r="W194" s="151">
        <v>0</v>
      </c>
      <c r="X194" s="151">
        <v>0</v>
      </c>
      <c r="Y194" s="151">
        <v>0</v>
      </c>
      <c r="Z194" s="151">
        <v>0</v>
      </c>
      <c r="AA194" s="151">
        <v>0</v>
      </c>
      <c r="AB194" s="151">
        <v>0</v>
      </c>
      <c r="AC194" s="151">
        <f>ROUND(N194*1.5%,2)</f>
        <v>46669.95</v>
      </c>
      <c r="AD194" s="151">
        <v>120000</v>
      </c>
      <c r="AE194" s="151"/>
      <c r="AF194" s="153">
        <v>2020</v>
      </c>
      <c r="AG194" s="153">
        <v>2020</v>
      </c>
      <c r="AH194" s="153">
        <v>2020</v>
      </c>
    </row>
    <row r="195" spans="1:75" ht="61.5" x14ac:dyDescent="0.85">
      <c r="A195" s="21">
        <v>1</v>
      </c>
      <c r="B195" s="70">
        <f>SUBTOTAL(103,$A$22:A195)</f>
        <v>172</v>
      </c>
      <c r="C195" s="25" t="s">
        <v>1390</v>
      </c>
      <c r="D195" s="32">
        <f t="shared" si="40"/>
        <v>1809500</v>
      </c>
      <c r="E195" s="151">
        <v>0</v>
      </c>
      <c r="F195" s="151">
        <v>0</v>
      </c>
      <c r="G195" s="151">
        <v>0</v>
      </c>
      <c r="H195" s="151">
        <v>0</v>
      </c>
      <c r="I195" s="151">
        <v>0</v>
      </c>
      <c r="J195" s="151">
        <v>0</v>
      </c>
      <c r="K195" s="152">
        <v>0</v>
      </c>
      <c r="L195" s="151">
        <v>0</v>
      </c>
      <c r="M195" s="151">
        <v>329</v>
      </c>
      <c r="N195" s="151">
        <v>1664532.02</v>
      </c>
      <c r="O195" s="151">
        <v>0</v>
      </c>
      <c r="P195" s="151">
        <v>0</v>
      </c>
      <c r="Q195" s="151">
        <v>0</v>
      </c>
      <c r="R195" s="151">
        <v>0</v>
      </c>
      <c r="S195" s="151">
        <v>0</v>
      </c>
      <c r="T195" s="151">
        <v>0</v>
      </c>
      <c r="U195" s="151">
        <v>0</v>
      </c>
      <c r="V195" s="151">
        <v>0</v>
      </c>
      <c r="W195" s="151">
        <v>0</v>
      </c>
      <c r="X195" s="151">
        <v>0</v>
      </c>
      <c r="Y195" s="151">
        <v>0</v>
      </c>
      <c r="Z195" s="151">
        <v>0</v>
      </c>
      <c r="AA195" s="151">
        <v>0</v>
      </c>
      <c r="AB195" s="151">
        <v>0</v>
      </c>
      <c r="AC195" s="151">
        <f t="shared" ref="AC195:AC198" si="49">ROUND(N195*1.5%,2)</f>
        <v>24967.98</v>
      </c>
      <c r="AD195" s="151">
        <v>120000</v>
      </c>
      <c r="AE195" s="151"/>
      <c r="AF195" s="153">
        <v>2020</v>
      </c>
      <c r="AG195" s="153">
        <v>2020</v>
      </c>
      <c r="AH195" s="153">
        <v>2020</v>
      </c>
    </row>
    <row r="196" spans="1:75" ht="61.5" x14ac:dyDescent="0.85">
      <c r="A196" s="21">
        <v>1</v>
      </c>
      <c r="B196" s="70">
        <f>SUBTOTAL(103,$A$22:A196)</f>
        <v>173</v>
      </c>
      <c r="C196" s="25" t="s">
        <v>1391</v>
      </c>
      <c r="D196" s="32">
        <f t="shared" si="40"/>
        <v>3657500</v>
      </c>
      <c r="E196" s="151">
        <v>0</v>
      </c>
      <c r="F196" s="151">
        <v>0</v>
      </c>
      <c r="G196" s="151">
        <v>0</v>
      </c>
      <c r="H196" s="151">
        <v>0</v>
      </c>
      <c r="I196" s="151">
        <v>0</v>
      </c>
      <c r="J196" s="151">
        <v>0</v>
      </c>
      <c r="K196" s="152">
        <v>0</v>
      </c>
      <c r="L196" s="151">
        <v>0</v>
      </c>
      <c r="M196" s="151">
        <v>665</v>
      </c>
      <c r="N196" s="151">
        <v>3485221.67</v>
      </c>
      <c r="O196" s="151">
        <v>0</v>
      </c>
      <c r="P196" s="151">
        <v>0</v>
      </c>
      <c r="Q196" s="151">
        <v>0</v>
      </c>
      <c r="R196" s="151">
        <v>0</v>
      </c>
      <c r="S196" s="151">
        <v>0</v>
      </c>
      <c r="T196" s="151">
        <v>0</v>
      </c>
      <c r="U196" s="151">
        <v>0</v>
      </c>
      <c r="V196" s="151">
        <v>0</v>
      </c>
      <c r="W196" s="151">
        <v>0</v>
      </c>
      <c r="X196" s="151">
        <v>0</v>
      </c>
      <c r="Y196" s="151">
        <v>0</v>
      </c>
      <c r="Z196" s="151">
        <v>0</v>
      </c>
      <c r="AA196" s="151">
        <v>0</v>
      </c>
      <c r="AB196" s="151">
        <v>0</v>
      </c>
      <c r="AC196" s="151">
        <f t="shared" si="49"/>
        <v>52278.33</v>
      </c>
      <c r="AD196" s="151">
        <v>120000</v>
      </c>
      <c r="AE196" s="151"/>
      <c r="AF196" s="153">
        <v>2020</v>
      </c>
      <c r="AG196" s="153">
        <v>2020</v>
      </c>
      <c r="AH196" s="153">
        <v>2020</v>
      </c>
    </row>
    <row r="197" spans="1:75" ht="61.5" x14ac:dyDescent="0.85">
      <c r="A197" s="21">
        <v>1</v>
      </c>
      <c r="B197" s="70">
        <f>SUBTOTAL(103,$A$22:A197)</f>
        <v>174</v>
      </c>
      <c r="C197" s="25" t="s">
        <v>1392</v>
      </c>
      <c r="D197" s="32">
        <f t="shared" si="40"/>
        <v>1353000</v>
      </c>
      <c r="E197" s="151">
        <v>0</v>
      </c>
      <c r="F197" s="151">
        <v>0</v>
      </c>
      <c r="G197" s="151">
        <v>0</v>
      </c>
      <c r="H197" s="151">
        <v>0</v>
      </c>
      <c r="I197" s="151">
        <v>0</v>
      </c>
      <c r="J197" s="151">
        <v>0</v>
      </c>
      <c r="K197" s="152">
        <v>0</v>
      </c>
      <c r="L197" s="151">
        <v>0</v>
      </c>
      <c r="M197" s="151">
        <v>246</v>
      </c>
      <c r="N197" s="151">
        <v>1234482.76</v>
      </c>
      <c r="O197" s="151">
        <v>0</v>
      </c>
      <c r="P197" s="151">
        <v>0</v>
      </c>
      <c r="Q197" s="151">
        <v>0</v>
      </c>
      <c r="R197" s="151">
        <v>0</v>
      </c>
      <c r="S197" s="151">
        <v>0</v>
      </c>
      <c r="T197" s="151">
        <v>0</v>
      </c>
      <c r="U197" s="151">
        <v>0</v>
      </c>
      <c r="V197" s="151">
        <v>0</v>
      </c>
      <c r="W197" s="151">
        <v>0</v>
      </c>
      <c r="X197" s="151">
        <v>0</v>
      </c>
      <c r="Y197" s="151">
        <v>0</v>
      </c>
      <c r="Z197" s="151">
        <v>0</v>
      </c>
      <c r="AA197" s="151">
        <v>0</v>
      </c>
      <c r="AB197" s="151">
        <v>0</v>
      </c>
      <c r="AC197" s="151">
        <f t="shared" si="49"/>
        <v>18517.240000000002</v>
      </c>
      <c r="AD197" s="151">
        <v>100000</v>
      </c>
      <c r="AE197" s="151"/>
      <c r="AF197" s="153">
        <v>2020</v>
      </c>
      <c r="AG197" s="153">
        <v>2020</v>
      </c>
      <c r="AH197" s="153">
        <v>2020</v>
      </c>
    </row>
    <row r="198" spans="1:75" ht="61.5" x14ac:dyDescent="0.85">
      <c r="A198" s="21">
        <v>1</v>
      </c>
      <c r="B198" s="70">
        <f>SUBTOTAL(103,$A$22:A198)</f>
        <v>175</v>
      </c>
      <c r="C198" s="25" t="s">
        <v>1393</v>
      </c>
      <c r="D198" s="32">
        <f t="shared" si="40"/>
        <v>1391500</v>
      </c>
      <c r="E198" s="151">
        <v>0</v>
      </c>
      <c r="F198" s="151">
        <v>0</v>
      </c>
      <c r="G198" s="151">
        <v>0</v>
      </c>
      <c r="H198" s="151">
        <v>0</v>
      </c>
      <c r="I198" s="151">
        <v>0</v>
      </c>
      <c r="J198" s="151">
        <v>0</v>
      </c>
      <c r="K198" s="152">
        <v>0</v>
      </c>
      <c r="L198" s="151">
        <v>0</v>
      </c>
      <c r="M198" s="151">
        <v>253</v>
      </c>
      <c r="N198" s="151">
        <v>1272413.79</v>
      </c>
      <c r="O198" s="151">
        <v>0</v>
      </c>
      <c r="P198" s="151">
        <v>0</v>
      </c>
      <c r="Q198" s="151">
        <v>0</v>
      </c>
      <c r="R198" s="151">
        <v>0</v>
      </c>
      <c r="S198" s="151">
        <v>0</v>
      </c>
      <c r="T198" s="151">
        <v>0</v>
      </c>
      <c r="U198" s="151">
        <v>0</v>
      </c>
      <c r="V198" s="151">
        <v>0</v>
      </c>
      <c r="W198" s="151">
        <v>0</v>
      </c>
      <c r="X198" s="151">
        <v>0</v>
      </c>
      <c r="Y198" s="151">
        <v>0</v>
      </c>
      <c r="Z198" s="151">
        <v>0</v>
      </c>
      <c r="AA198" s="151">
        <v>0</v>
      </c>
      <c r="AB198" s="151">
        <v>0</v>
      </c>
      <c r="AC198" s="151">
        <f t="shared" si="49"/>
        <v>19086.21</v>
      </c>
      <c r="AD198" s="151">
        <v>100000</v>
      </c>
      <c r="AE198" s="151"/>
      <c r="AF198" s="153">
        <v>2020</v>
      </c>
      <c r="AG198" s="153">
        <v>2020</v>
      </c>
      <c r="AH198" s="153">
        <v>2020</v>
      </c>
    </row>
    <row r="199" spans="1:75" ht="61.5" x14ac:dyDescent="0.85">
      <c r="B199" s="25" t="s">
        <v>810</v>
      </c>
      <c r="C199" s="110"/>
      <c r="D199" s="32">
        <f>SUM(D200:D229)</f>
        <v>172847335.12</v>
      </c>
      <c r="E199" s="32">
        <f t="shared" ref="E199:AE199" si="50">SUM(E200:E229)</f>
        <v>845974.22</v>
      </c>
      <c r="F199" s="32">
        <f t="shared" si="50"/>
        <v>0</v>
      </c>
      <c r="G199" s="32">
        <f t="shared" si="50"/>
        <v>7605779.9500000011</v>
      </c>
      <c r="H199" s="32">
        <f t="shared" si="50"/>
        <v>1271691.1199999999</v>
      </c>
      <c r="I199" s="32">
        <f t="shared" si="50"/>
        <v>4766100.6100000003</v>
      </c>
      <c r="J199" s="32">
        <f t="shared" si="50"/>
        <v>0</v>
      </c>
      <c r="K199" s="34">
        <f t="shared" si="50"/>
        <v>50</v>
      </c>
      <c r="L199" s="32">
        <f t="shared" si="50"/>
        <v>94055805.320000008</v>
      </c>
      <c r="M199" s="32">
        <f t="shared" si="50"/>
        <v>9462.3100000000013</v>
      </c>
      <c r="N199" s="32">
        <f t="shared" si="50"/>
        <v>41046919.090000004</v>
      </c>
      <c r="O199" s="32">
        <f t="shared" si="50"/>
        <v>0</v>
      </c>
      <c r="P199" s="32">
        <f t="shared" si="50"/>
        <v>0</v>
      </c>
      <c r="Q199" s="32">
        <f t="shared" si="50"/>
        <v>5344.7599999999993</v>
      </c>
      <c r="R199" s="32">
        <f t="shared" si="50"/>
        <v>20146059.449999999</v>
      </c>
      <c r="S199" s="32">
        <f t="shared" si="50"/>
        <v>0</v>
      </c>
      <c r="T199" s="32">
        <f t="shared" si="50"/>
        <v>0</v>
      </c>
      <c r="U199" s="32">
        <f t="shared" si="50"/>
        <v>0</v>
      </c>
      <c r="V199" s="32">
        <f t="shared" si="50"/>
        <v>0</v>
      </c>
      <c r="W199" s="32">
        <f t="shared" si="50"/>
        <v>0</v>
      </c>
      <c r="X199" s="32">
        <f t="shared" si="50"/>
        <v>0</v>
      </c>
      <c r="Y199" s="32">
        <f t="shared" si="50"/>
        <v>0</v>
      </c>
      <c r="Z199" s="32">
        <f t="shared" si="50"/>
        <v>0</v>
      </c>
      <c r="AA199" s="32">
        <f t="shared" si="50"/>
        <v>0</v>
      </c>
      <c r="AB199" s="32">
        <f t="shared" si="50"/>
        <v>0</v>
      </c>
      <c r="AC199" s="32">
        <f t="shared" si="50"/>
        <v>1135237.8699999999</v>
      </c>
      <c r="AD199" s="32">
        <f t="shared" si="50"/>
        <v>1613767.49</v>
      </c>
      <c r="AE199" s="32">
        <f t="shared" si="50"/>
        <v>360000</v>
      </c>
      <c r="AF199" s="77" t="s">
        <v>801</v>
      </c>
      <c r="AG199" s="77" t="s">
        <v>801</v>
      </c>
      <c r="AH199" s="107" t="s">
        <v>801</v>
      </c>
      <c r="AT199" s="21" t="e">
        <f t="shared" ref="AT199:AT211" si="51">VLOOKUP(C199,AW:AX,2,FALSE)</f>
        <v>#N/A</v>
      </c>
    </row>
    <row r="200" spans="1:75" ht="61.5" x14ac:dyDescent="0.85">
      <c r="A200" s="21">
        <v>1</v>
      </c>
      <c r="B200" s="70">
        <f>SUBTOTAL(103,$A$22:A200)</f>
        <v>176</v>
      </c>
      <c r="C200" s="25" t="s">
        <v>811</v>
      </c>
      <c r="D200" s="32">
        <f t="shared" ref="D200:D224" si="52">E200+F200+G200+H200+I200+J200+L200+N200+P200+R200+T200+U200+V200+W200+X200+Y200+Z200+AA200+AB200+AC200+AD200+AE200</f>
        <v>8097350.3199999994</v>
      </c>
      <c r="E200" s="32">
        <v>0</v>
      </c>
      <c r="F200" s="32">
        <v>0</v>
      </c>
      <c r="G200" s="32">
        <v>0</v>
      </c>
      <c r="H200" s="32">
        <v>0</v>
      </c>
      <c r="I200" s="32">
        <v>0</v>
      </c>
      <c r="J200" s="32">
        <v>0</v>
      </c>
      <c r="K200" s="34">
        <v>0</v>
      </c>
      <c r="L200" s="32">
        <v>0</v>
      </c>
      <c r="M200" s="32">
        <v>0</v>
      </c>
      <c r="N200" s="32">
        <v>0</v>
      </c>
      <c r="O200" s="32">
        <v>0</v>
      </c>
      <c r="P200" s="32">
        <v>0</v>
      </c>
      <c r="Q200" s="32">
        <v>1402</v>
      </c>
      <c r="R200" s="32">
        <v>7829901.7899999991</v>
      </c>
      <c r="S200" s="32">
        <v>0</v>
      </c>
      <c r="T200" s="32">
        <v>0</v>
      </c>
      <c r="U200" s="32">
        <v>0</v>
      </c>
      <c r="V200" s="32">
        <v>0</v>
      </c>
      <c r="W200" s="32">
        <v>0</v>
      </c>
      <c r="X200" s="32">
        <v>0</v>
      </c>
      <c r="Y200" s="32">
        <v>0</v>
      </c>
      <c r="Z200" s="32">
        <v>0</v>
      </c>
      <c r="AA200" s="32">
        <v>0</v>
      </c>
      <c r="AB200" s="32">
        <v>0</v>
      </c>
      <c r="AC200" s="32">
        <f t="shared" ref="AC200" si="53">ROUND(R200*1.5%,2)</f>
        <v>117448.53</v>
      </c>
      <c r="AD200" s="32">
        <v>150000</v>
      </c>
      <c r="AE200" s="32">
        <v>0</v>
      </c>
      <c r="AF200" s="35">
        <v>2020</v>
      </c>
      <c r="AG200" s="35">
        <v>2020</v>
      </c>
      <c r="AH200" s="36">
        <v>2020</v>
      </c>
      <c r="AT200" s="21" t="e">
        <f t="shared" si="51"/>
        <v>#N/A</v>
      </c>
    </row>
    <row r="201" spans="1:75" ht="61.5" x14ac:dyDescent="0.85">
      <c r="A201" s="21">
        <v>1</v>
      </c>
      <c r="B201" s="70">
        <f>SUBTOTAL(103,$A$22:A201)</f>
        <v>177</v>
      </c>
      <c r="C201" s="25" t="s">
        <v>812</v>
      </c>
      <c r="D201" s="32">
        <f t="shared" si="52"/>
        <v>2390164.4000000004</v>
      </c>
      <c r="E201" s="32">
        <v>0</v>
      </c>
      <c r="F201" s="32">
        <v>0</v>
      </c>
      <c r="G201" s="32">
        <v>0</v>
      </c>
      <c r="H201" s="32">
        <v>0</v>
      </c>
      <c r="I201" s="32">
        <v>0</v>
      </c>
      <c r="J201" s="32">
        <v>0</v>
      </c>
      <c r="K201" s="34">
        <v>0</v>
      </c>
      <c r="L201" s="32">
        <v>0</v>
      </c>
      <c r="M201" s="32">
        <v>510</v>
      </c>
      <c r="N201" s="32">
        <v>2267010.7400000002</v>
      </c>
      <c r="O201" s="32">
        <v>0</v>
      </c>
      <c r="P201" s="32">
        <v>0</v>
      </c>
      <c r="Q201" s="32">
        <v>0</v>
      </c>
      <c r="R201" s="32">
        <v>0</v>
      </c>
      <c r="S201" s="32">
        <v>0</v>
      </c>
      <c r="T201" s="32">
        <v>0</v>
      </c>
      <c r="U201" s="32">
        <v>0</v>
      </c>
      <c r="V201" s="32">
        <v>0</v>
      </c>
      <c r="W201" s="32">
        <v>0</v>
      </c>
      <c r="X201" s="32">
        <v>0</v>
      </c>
      <c r="Y201" s="32">
        <v>0</v>
      </c>
      <c r="Z201" s="32">
        <v>0</v>
      </c>
      <c r="AA201" s="32">
        <v>0</v>
      </c>
      <c r="AB201" s="32">
        <v>0</v>
      </c>
      <c r="AC201" s="32">
        <f t="shared" ref="AC201:AC202" si="54">ROUND(N201*1.5%,2)</f>
        <v>34005.160000000003</v>
      </c>
      <c r="AD201" s="32">
        <v>89148.5</v>
      </c>
      <c r="AE201" s="32">
        <v>0</v>
      </c>
      <c r="AF201" s="35">
        <v>2020</v>
      </c>
      <c r="AG201" s="35">
        <v>2020</v>
      </c>
      <c r="AH201" s="36">
        <v>2020</v>
      </c>
      <c r="AT201" s="21" t="e">
        <f t="shared" si="51"/>
        <v>#N/A</v>
      </c>
    </row>
    <row r="202" spans="1:75" ht="61.5" x14ac:dyDescent="0.85">
      <c r="A202" s="21">
        <v>1</v>
      </c>
      <c r="B202" s="70">
        <f>SUBTOTAL(103,$A$22:A202)</f>
        <v>178</v>
      </c>
      <c r="C202" s="25" t="s">
        <v>813</v>
      </c>
      <c r="D202" s="32">
        <f t="shared" si="52"/>
        <v>1247111.4300000002</v>
      </c>
      <c r="E202" s="32">
        <v>0</v>
      </c>
      <c r="F202" s="32">
        <v>0</v>
      </c>
      <c r="G202" s="32">
        <v>0</v>
      </c>
      <c r="H202" s="32">
        <v>0</v>
      </c>
      <c r="I202" s="32">
        <v>0</v>
      </c>
      <c r="J202" s="32">
        <v>0</v>
      </c>
      <c r="K202" s="34">
        <v>0</v>
      </c>
      <c r="L202" s="32">
        <v>0</v>
      </c>
      <c r="M202" s="32">
        <v>265</v>
      </c>
      <c r="N202" s="32">
        <v>1140865.8600000001</v>
      </c>
      <c r="O202" s="32">
        <v>0</v>
      </c>
      <c r="P202" s="32">
        <v>0</v>
      </c>
      <c r="Q202" s="32">
        <v>0</v>
      </c>
      <c r="R202" s="32">
        <v>0</v>
      </c>
      <c r="S202" s="32">
        <v>0</v>
      </c>
      <c r="T202" s="32">
        <v>0</v>
      </c>
      <c r="U202" s="32">
        <v>0</v>
      </c>
      <c r="V202" s="32">
        <v>0</v>
      </c>
      <c r="W202" s="32">
        <v>0</v>
      </c>
      <c r="X202" s="32">
        <v>0</v>
      </c>
      <c r="Y202" s="32">
        <v>0</v>
      </c>
      <c r="Z202" s="32">
        <v>0</v>
      </c>
      <c r="AA202" s="32">
        <v>0</v>
      </c>
      <c r="AB202" s="32">
        <v>0</v>
      </c>
      <c r="AC202" s="32">
        <f t="shared" si="54"/>
        <v>17112.990000000002</v>
      </c>
      <c r="AD202" s="32">
        <f>100000-10867.42</f>
        <v>89132.58</v>
      </c>
      <c r="AE202" s="32">
        <v>0</v>
      </c>
      <c r="AF202" s="35">
        <v>2020</v>
      </c>
      <c r="AG202" s="35">
        <v>2020</v>
      </c>
      <c r="AH202" s="36">
        <v>2020</v>
      </c>
      <c r="AT202" s="21" t="e">
        <f t="shared" si="51"/>
        <v>#N/A</v>
      </c>
    </row>
    <row r="203" spans="1:75" ht="61.5" x14ac:dyDescent="0.85">
      <c r="A203" s="21">
        <v>1</v>
      </c>
      <c r="B203" s="70">
        <f>SUBTOTAL(103,$A$22:A203)</f>
        <v>179</v>
      </c>
      <c r="C203" s="25" t="s">
        <v>814</v>
      </c>
      <c r="D203" s="32">
        <f t="shared" si="52"/>
        <v>5916180.5500000007</v>
      </c>
      <c r="E203" s="32">
        <v>0</v>
      </c>
      <c r="F203" s="32">
        <v>0</v>
      </c>
      <c r="G203" s="32">
        <v>0</v>
      </c>
      <c r="H203" s="32">
        <v>0</v>
      </c>
      <c r="I203" s="32">
        <v>0</v>
      </c>
      <c r="J203" s="32">
        <v>0</v>
      </c>
      <c r="K203" s="34">
        <v>3</v>
      </c>
      <c r="L203" s="32">
        <v>5834718.2300000004</v>
      </c>
      <c r="M203" s="32">
        <v>0</v>
      </c>
      <c r="N203" s="32">
        <v>0</v>
      </c>
      <c r="O203" s="32">
        <v>0</v>
      </c>
      <c r="P203" s="32">
        <v>0</v>
      </c>
      <c r="Q203" s="32">
        <v>0</v>
      </c>
      <c r="R203" s="32">
        <v>0</v>
      </c>
      <c r="S203" s="32">
        <v>0</v>
      </c>
      <c r="T203" s="32">
        <v>0</v>
      </c>
      <c r="U203" s="32">
        <v>0</v>
      </c>
      <c r="V203" s="32">
        <v>0</v>
      </c>
      <c r="W203" s="32">
        <v>0</v>
      </c>
      <c r="X203" s="32">
        <v>0</v>
      </c>
      <c r="Y203" s="32">
        <v>0</v>
      </c>
      <c r="Z203" s="32">
        <v>0</v>
      </c>
      <c r="AA203" s="32">
        <v>0</v>
      </c>
      <c r="AB203" s="32">
        <v>0</v>
      </c>
      <c r="AC203" s="32">
        <v>0</v>
      </c>
      <c r="AD203" s="32">
        <v>81462.320000000007</v>
      </c>
      <c r="AE203" s="32">
        <v>0</v>
      </c>
      <c r="AF203" s="35">
        <v>2020</v>
      </c>
      <c r="AG203" s="35">
        <v>2020</v>
      </c>
      <c r="AH203" s="36" t="s">
        <v>275</v>
      </c>
      <c r="AT203" s="21" t="e">
        <f t="shared" si="51"/>
        <v>#N/A</v>
      </c>
    </row>
    <row r="204" spans="1:75" ht="61.5" x14ac:dyDescent="0.85">
      <c r="A204" s="21">
        <v>1</v>
      </c>
      <c r="B204" s="70">
        <f>SUBTOTAL(103,$A$22:A204)</f>
        <v>180</v>
      </c>
      <c r="C204" s="25" t="s">
        <v>815</v>
      </c>
      <c r="D204" s="32">
        <f t="shared" si="52"/>
        <v>7884233.4699999997</v>
      </c>
      <c r="E204" s="32">
        <v>0</v>
      </c>
      <c r="F204" s="32">
        <v>0</v>
      </c>
      <c r="G204" s="32">
        <v>0</v>
      </c>
      <c r="H204" s="32">
        <v>0</v>
      </c>
      <c r="I204" s="32">
        <v>0</v>
      </c>
      <c r="J204" s="32">
        <v>0</v>
      </c>
      <c r="K204" s="34">
        <v>4</v>
      </c>
      <c r="L204" s="32">
        <v>7792760.5899999999</v>
      </c>
      <c r="M204" s="32">
        <v>0</v>
      </c>
      <c r="N204" s="32">
        <v>0</v>
      </c>
      <c r="O204" s="32">
        <v>0</v>
      </c>
      <c r="P204" s="32">
        <v>0</v>
      </c>
      <c r="Q204" s="32">
        <v>0</v>
      </c>
      <c r="R204" s="32">
        <v>0</v>
      </c>
      <c r="S204" s="32">
        <v>0</v>
      </c>
      <c r="T204" s="32">
        <v>0</v>
      </c>
      <c r="U204" s="32">
        <v>0</v>
      </c>
      <c r="V204" s="32">
        <v>0</v>
      </c>
      <c r="W204" s="32">
        <v>0</v>
      </c>
      <c r="X204" s="32">
        <v>0</v>
      </c>
      <c r="Y204" s="32">
        <v>0</v>
      </c>
      <c r="Z204" s="32">
        <v>0</v>
      </c>
      <c r="AA204" s="32">
        <v>0</v>
      </c>
      <c r="AB204" s="32">
        <v>0</v>
      </c>
      <c r="AC204" s="32">
        <v>0</v>
      </c>
      <c r="AD204" s="32">
        <v>91472.88</v>
      </c>
      <c r="AE204" s="32">
        <v>0</v>
      </c>
      <c r="AF204" s="35">
        <v>2020</v>
      </c>
      <c r="AG204" s="35">
        <v>2020</v>
      </c>
      <c r="AH204" s="36" t="s">
        <v>275</v>
      </c>
      <c r="AT204" s="21" t="e">
        <f t="shared" si="51"/>
        <v>#N/A</v>
      </c>
    </row>
    <row r="205" spans="1:75" ht="61.5" x14ac:dyDescent="0.85">
      <c r="A205" s="21">
        <v>1</v>
      </c>
      <c r="B205" s="70">
        <f>SUBTOTAL(103,$A$22:A205)</f>
        <v>181</v>
      </c>
      <c r="C205" s="25" t="s">
        <v>816</v>
      </c>
      <c r="D205" s="32">
        <f t="shared" si="52"/>
        <v>9861289.3000000007</v>
      </c>
      <c r="E205" s="32">
        <v>0</v>
      </c>
      <c r="F205" s="32">
        <v>0</v>
      </c>
      <c r="G205" s="32">
        <v>0</v>
      </c>
      <c r="H205" s="32">
        <v>0</v>
      </c>
      <c r="I205" s="32">
        <v>0</v>
      </c>
      <c r="J205" s="32">
        <v>0</v>
      </c>
      <c r="K205" s="34">
        <v>5</v>
      </c>
      <c r="L205" s="32">
        <v>9760655.1699999999</v>
      </c>
      <c r="M205" s="32">
        <v>0</v>
      </c>
      <c r="N205" s="32">
        <v>0</v>
      </c>
      <c r="O205" s="32">
        <v>0</v>
      </c>
      <c r="P205" s="32">
        <v>0</v>
      </c>
      <c r="Q205" s="32">
        <v>0</v>
      </c>
      <c r="R205" s="32">
        <v>0</v>
      </c>
      <c r="S205" s="32">
        <v>0</v>
      </c>
      <c r="T205" s="32">
        <v>0</v>
      </c>
      <c r="U205" s="32">
        <v>0</v>
      </c>
      <c r="V205" s="32">
        <v>0</v>
      </c>
      <c r="W205" s="32">
        <v>0</v>
      </c>
      <c r="X205" s="32">
        <v>0</v>
      </c>
      <c r="Y205" s="32">
        <v>0</v>
      </c>
      <c r="Z205" s="32">
        <v>0</v>
      </c>
      <c r="AA205" s="32">
        <v>0</v>
      </c>
      <c r="AB205" s="32">
        <v>0</v>
      </c>
      <c r="AC205" s="32">
        <v>0</v>
      </c>
      <c r="AD205" s="32">
        <v>100634.13</v>
      </c>
      <c r="AE205" s="32">
        <v>0</v>
      </c>
      <c r="AF205" s="35">
        <v>2020</v>
      </c>
      <c r="AG205" s="35">
        <v>2020</v>
      </c>
      <c r="AH205" s="36" t="s">
        <v>275</v>
      </c>
      <c r="AT205" s="21" t="e">
        <f t="shared" si="51"/>
        <v>#N/A</v>
      </c>
    </row>
    <row r="206" spans="1:75" ht="61.5" x14ac:dyDescent="0.85">
      <c r="A206" s="21">
        <v>1</v>
      </c>
      <c r="B206" s="70">
        <f>SUBTOTAL(103,$A$22:A206)</f>
        <v>182</v>
      </c>
      <c r="C206" s="25" t="s">
        <v>817</v>
      </c>
      <c r="D206" s="32">
        <f t="shared" si="52"/>
        <v>9861268.7699999996</v>
      </c>
      <c r="E206" s="32">
        <v>0</v>
      </c>
      <c r="F206" s="32">
        <v>0</v>
      </c>
      <c r="G206" s="32">
        <v>0</v>
      </c>
      <c r="H206" s="32">
        <v>0</v>
      </c>
      <c r="I206" s="32">
        <v>0</v>
      </c>
      <c r="J206" s="32">
        <v>0</v>
      </c>
      <c r="K206" s="34">
        <v>5</v>
      </c>
      <c r="L206" s="32">
        <v>9760655.1699999999</v>
      </c>
      <c r="M206" s="32">
        <v>0</v>
      </c>
      <c r="N206" s="32">
        <v>0</v>
      </c>
      <c r="O206" s="32">
        <v>0</v>
      </c>
      <c r="P206" s="32">
        <v>0</v>
      </c>
      <c r="Q206" s="32">
        <v>0</v>
      </c>
      <c r="R206" s="32">
        <v>0</v>
      </c>
      <c r="S206" s="32">
        <v>0</v>
      </c>
      <c r="T206" s="32">
        <v>0</v>
      </c>
      <c r="U206" s="32">
        <v>0</v>
      </c>
      <c r="V206" s="32">
        <v>0</v>
      </c>
      <c r="W206" s="32">
        <v>0</v>
      </c>
      <c r="X206" s="32">
        <v>0</v>
      </c>
      <c r="Y206" s="32">
        <v>0</v>
      </c>
      <c r="Z206" s="32">
        <v>0</v>
      </c>
      <c r="AA206" s="32">
        <v>0</v>
      </c>
      <c r="AB206" s="32">
        <v>0</v>
      </c>
      <c r="AC206" s="32">
        <v>0</v>
      </c>
      <c r="AD206" s="32">
        <v>100613.6</v>
      </c>
      <c r="AE206" s="32">
        <v>0</v>
      </c>
      <c r="AF206" s="35">
        <v>2020</v>
      </c>
      <c r="AG206" s="35">
        <v>2020</v>
      </c>
      <c r="AH206" s="36" t="s">
        <v>275</v>
      </c>
      <c r="AT206" s="21" t="e">
        <f t="shared" si="51"/>
        <v>#N/A</v>
      </c>
    </row>
    <row r="207" spans="1:75" ht="61.5" x14ac:dyDescent="0.85">
      <c r="A207" s="21">
        <v>1</v>
      </c>
      <c r="B207" s="70">
        <f>SUBTOTAL(103,$A$22:A207)</f>
        <v>183</v>
      </c>
      <c r="C207" s="25" t="s">
        <v>818</v>
      </c>
      <c r="D207" s="32">
        <f t="shared" si="52"/>
        <v>9311263.3400000017</v>
      </c>
      <c r="E207" s="32">
        <v>749597.22</v>
      </c>
      <c r="F207" s="32">
        <v>0</v>
      </c>
      <c r="G207" s="32">
        <f>6632817.44-1050860.34</f>
        <v>5581957.1000000006</v>
      </c>
      <c r="H207" s="32">
        <v>900908.28</v>
      </c>
      <c r="I207" s="32">
        <v>1694890.44</v>
      </c>
      <c r="J207" s="32">
        <v>0</v>
      </c>
      <c r="K207" s="34">
        <v>0</v>
      </c>
      <c r="L207" s="32">
        <v>0</v>
      </c>
      <c r="M207" s="32">
        <v>0</v>
      </c>
      <c r="N207" s="32">
        <v>0</v>
      </c>
      <c r="O207" s="32">
        <v>0</v>
      </c>
      <c r="P207" s="32">
        <v>0</v>
      </c>
      <c r="Q207" s="32">
        <v>0</v>
      </c>
      <c r="R207" s="32">
        <v>0</v>
      </c>
      <c r="S207" s="32">
        <v>0</v>
      </c>
      <c r="T207" s="32">
        <v>0</v>
      </c>
      <c r="U207" s="32">
        <v>0</v>
      </c>
      <c r="V207" s="32">
        <v>0</v>
      </c>
      <c r="W207" s="32">
        <v>0</v>
      </c>
      <c r="X207" s="32">
        <v>0</v>
      </c>
      <c r="Y207" s="32">
        <v>0</v>
      </c>
      <c r="Z207" s="32">
        <v>0</v>
      </c>
      <c r="AA207" s="32">
        <v>0</v>
      </c>
      <c r="AB207" s="32">
        <v>0</v>
      </c>
      <c r="AC207" s="32">
        <f t="shared" ref="AC207" si="55">ROUND((E207+F207+G207+H207+I207+J207)*1.5%,2)</f>
        <v>133910.29999999999</v>
      </c>
      <c r="AD207" s="32">
        <v>250000</v>
      </c>
      <c r="AE207" s="32">
        <v>0</v>
      </c>
      <c r="AF207" s="35">
        <v>2020</v>
      </c>
      <c r="AG207" s="35">
        <v>2020</v>
      </c>
      <c r="AH207" s="36">
        <v>2020</v>
      </c>
      <c r="AT207" s="21" t="e">
        <f t="shared" si="51"/>
        <v>#N/A</v>
      </c>
    </row>
    <row r="208" spans="1:75" ht="61.5" x14ac:dyDescent="0.85">
      <c r="A208" s="21">
        <v>1</v>
      </c>
      <c r="B208" s="70">
        <f>SUBTOTAL(103,$A$22:A208)</f>
        <v>184</v>
      </c>
      <c r="C208" s="25" t="s">
        <v>819</v>
      </c>
      <c r="D208" s="32">
        <f t="shared" si="52"/>
        <v>3165589.23</v>
      </c>
      <c r="E208" s="32">
        <v>0</v>
      </c>
      <c r="F208" s="32">
        <v>0</v>
      </c>
      <c r="G208" s="32">
        <v>0</v>
      </c>
      <c r="H208" s="32">
        <v>0</v>
      </c>
      <c r="I208" s="32">
        <v>0</v>
      </c>
      <c r="J208" s="32">
        <v>0</v>
      </c>
      <c r="K208" s="34">
        <v>0</v>
      </c>
      <c r="L208" s="32">
        <v>0</v>
      </c>
      <c r="M208" s="32">
        <v>675</v>
      </c>
      <c r="N208" s="32">
        <v>3038705.17</v>
      </c>
      <c r="O208" s="32">
        <v>0</v>
      </c>
      <c r="P208" s="32">
        <v>0</v>
      </c>
      <c r="Q208" s="32">
        <v>0</v>
      </c>
      <c r="R208" s="32">
        <v>0</v>
      </c>
      <c r="S208" s="32">
        <v>0</v>
      </c>
      <c r="T208" s="32">
        <v>0</v>
      </c>
      <c r="U208" s="32">
        <v>0</v>
      </c>
      <c r="V208" s="32">
        <v>0</v>
      </c>
      <c r="W208" s="32">
        <v>0</v>
      </c>
      <c r="X208" s="32">
        <v>0</v>
      </c>
      <c r="Y208" s="32">
        <v>0</v>
      </c>
      <c r="Z208" s="32">
        <v>0</v>
      </c>
      <c r="AA208" s="32">
        <v>0</v>
      </c>
      <c r="AB208" s="32">
        <v>0</v>
      </c>
      <c r="AC208" s="32">
        <f t="shared" ref="AC208:AC210" si="56">ROUND(N208*1.5%,2)</f>
        <v>45580.58</v>
      </c>
      <c r="AD208" s="32">
        <v>81303.48</v>
      </c>
      <c r="AE208" s="32">
        <v>0</v>
      </c>
      <c r="AF208" s="35">
        <v>2020</v>
      </c>
      <c r="AG208" s="35">
        <v>2020</v>
      </c>
      <c r="AH208" s="36">
        <v>2020</v>
      </c>
      <c r="AT208" s="21" t="e">
        <f t="shared" si="51"/>
        <v>#N/A</v>
      </c>
    </row>
    <row r="209" spans="1:46" ht="61.5" x14ac:dyDescent="0.85">
      <c r="A209" s="21">
        <v>1</v>
      </c>
      <c r="B209" s="70">
        <f>SUBTOTAL(103,$A$22:A209)</f>
        <v>185</v>
      </c>
      <c r="C209" s="25" t="s">
        <v>820</v>
      </c>
      <c r="D209" s="32">
        <f t="shared" si="52"/>
        <v>8070053</v>
      </c>
      <c r="E209" s="32">
        <v>0</v>
      </c>
      <c r="F209" s="32">
        <v>0</v>
      </c>
      <c r="G209" s="32">
        <v>0</v>
      </c>
      <c r="H209" s="32">
        <v>0</v>
      </c>
      <c r="I209" s="32">
        <v>0</v>
      </c>
      <c r="J209" s="32">
        <v>0</v>
      </c>
      <c r="K209" s="34">
        <v>0</v>
      </c>
      <c r="L209" s="32">
        <v>0</v>
      </c>
      <c r="M209" s="32">
        <v>1700</v>
      </c>
      <c r="N209" s="32">
        <v>7812860.0999999996</v>
      </c>
      <c r="O209" s="32">
        <v>0</v>
      </c>
      <c r="P209" s="32">
        <v>0</v>
      </c>
      <c r="Q209" s="32">
        <v>0</v>
      </c>
      <c r="R209" s="32">
        <v>0</v>
      </c>
      <c r="S209" s="32">
        <v>0</v>
      </c>
      <c r="T209" s="32">
        <v>0</v>
      </c>
      <c r="U209" s="32">
        <v>0</v>
      </c>
      <c r="V209" s="32">
        <v>0</v>
      </c>
      <c r="W209" s="32">
        <v>0</v>
      </c>
      <c r="X209" s="32">
        <v>0</v>
      </c>
      <c r="Y209" s="32">
        <v>0</v>
      </c>
      <c r="Z209" s="32">
        <v>0</v>
      </c>
      <c r="AA209" s="32">
        <v>0</v>
      </c>
      <c r="AB209" s="32">
        <v>0</v>
      </c>
      <c r="AC209" s="32">
        <f t="shared" si="56"/>
        <v>117192.9</v>
      </c>
      <c r="AD209" s="32">
        <v>140000</v>
      </c>
      <c r="AE209" s="32">
        <v>0</v>
      </c>
      <c r="AF209" s="35">
        <v>2020</v>
      </c>
      <c r="AG209" s="35">
        <v>2020</v>
      </c>
      <c r="AH209" s="36">
        <v>2020</v>
      </c>
      <c r="AT209" s="21" t="e">
        <f t="shared" si="51"/>
        <v>#N/A</v>
      </c>
    </row>
    <row r="210" spans="1:46" ht="61.5" x14ac:dyDescent="0.85">
      <c r="A210" s="21">
        <v>1</v>
      </c>
      <c r="B210" s="70">
        <f>SUBTOTAL(103,$A$22:A210)</f>
        <v>186</v>
      </c>
      <c r="C210" s="25" t="s">
        <v>821</v>
      </c>
      <c r="D210" s="32">
        <f t="shared" si="52"/>
        <v>5126857.2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4">
        <v>0</v>
      </c>
      <c r="L210" s="32">
        <v>0</v>
      </c>
      <c r="M210" s="32">
        <v>1080</v>
      </c>
      <c r="N210" s="32">
        <v>4913159.8</v>
      </c>
      <c r="O210" s="32">
        <v>0</v>
      </c>
      <c r="P210" s="32">
        <v>0</v>
      </c>
      <c r="Q210" s="32">
        <v>0</v>
      </c>
      <c r="R210" s="32">
        <v>0</v>
      </c>
      <c r="S210" s="32">
        <v>0</v>
      </c>
      <c r="T210" s="32">
        <v>0</v>
      </c>
      <c r="U210" s="32">
        <v>0</v>
      </c>
      <c r="V210" s="32">
        <v>0</v>
      </c>
      <c r="W210" s="32">
        <v>0</v>
      </c>
      <c r="X210" s="32">
        <v>0</v>
      </c>
      <c r="Y210" s="32">
        <v>0</v>
      </c>
      <c r="Z210" s="32">
        <v>0</v>
      </c>
      <c r="AA210" s="32">
        <v>0</v>
      </c>
      <c r="AB210" s="32">
        <v>0</v>
      </c>
      <c r="AC210" s="32">
        <f t="shared" si="56"/>
        <v>73697.399999999994</v>
      </c>
      <c r="AD210" s="32">
        <v>140000</v>
      </c>
      <c r="AE210" s="32">
        <v>0</v>
      </c>
      <c r="AF210" s="35">
        <v>2020</v>
      </c>
      <c r="AG210" s="35">
        <v>2020</v>
      </c>
      <c r="AH210" s="36">
        <v>2020</v>
      </c>
      <c r="AT210" s="21" t="e">
        <f t="shared" si="51"/>
        <v>#N/A</v>
      </c>
    </row>
    <row r="211" spans="1:46" ht="61.5" x14ac:dyDescent="0.85">
      <c r="A211" s="21">
        <v>1</v>
      </c>
      <c r="B211" s="70">
        <f>SUBTOTAL(103,$A$22:A211)</f>
        <v>187</v>
      </c>
      <c r="C211" s="25" t="s">
        <v>822</v>
      </c>
      <c r="D211" s="32">
        <f t="shared" si="52"/>
        <v>8021093.6299999999</v>
      </c>
      <c r="E211" s="32">
        <v>0</v>
      </c>
      <c r="F211" s="32">
        <v>0</v>
      </c>
      <c r="G211" s="32">
        <v>0</v>
      </c>
      <c r="H211" s="32">
        <v>0</v>
      </c>
      <c r="I211" s="32">
        <v>1464542.39</v>
      </c>
      <c r="J211" s="32">
        <v>0</v>
      </c>
      <c r="K211" s="34">
        <v>0</v>
      </c>
      <c r="L211" s="32">
        <v>0</v>
      </c>
      <c r="M211" s="32">
        <v>1340</v>
      </c>
      <c r="N211" s="32">
        <f>6051559.71+150000</f>
        <v>6201559.71</v>
      </c>
      <c r="O211" s="32">
        <v>0</v>
      </c>
      <c r="P211" s="32">
        <v>0</v>
      </c>
      <c r="Q211" s="32">
        <v>0</v>
      </c>
      <c r="R211" s="32">
        <v>0</v>
      </c>
      <c r="S211" s="32">
        <v>0</v>
      </c>
      <c r="T211" s="32">
        <v>0</v>
      </c>
      <c r="U211" s="32">
        <v>0</v>
      </c>
      <c r="V211" s="32">
        <v>0</v>
      </c>
      <c r="W211" s="32">
        <v>0</v>
      </c>
      <c r="X211" s="32">
        <v>0</v>
      </c>
      <c r="Y211" s="32">
        <v>0</v>
      </c>
      <c r="Z211" s="32">
        <v>0</v>
      </c>
      <c r="AA211" s="32">
        <v>0</v>
      </c>
      <c r="AB211" s="32">
        <v>0</v>
      </c>
      <c r="AC211" s="32">
        <f>ROUND((N211+I211)*1.5%,2)</f>
        <v>114991.53</v>
      </c>
      <c r="AD211" s="32">
        <v>0</v>
      </c>
      <c r="AE211" s="32">
        <v>240000</v>
      </c>
      <c r="AF211" s="35" t="s">
        <v>275</v>
      </c>
      <c r="AG211" s="35">
        <v>2020</v>
      </c>
      <c r="AH211" s="36">
        <v>2020</v>
      </c>
      <c r="AT211" s="21" t="e">
        <f t="shared" si="51"/>
        <v>#N/A</v>
      </c>
    </row>
    <row r="212" spans="1:46" ht="61.5" x14ac:dyDescent="0.85">
      <c r="A212" s="21">
        <v>1</v>
      </c>
      <c r="B212" s="70">
        <f>SUBTOTAL(103,$A$22:A212)</f>
        <v>188</v>
      </c>
      <c r="C212" s="25" t="s">
        <v>1250</v>
      </c>
      <c r="D212" s="32">
        <f t="shared" si="52"/>
        <v>3853007.0700000003</v>
      </c>
      <c r="E212" s="32">
        <v>0</v>
      </c>
      <c r="F212" s="32">
        <v>0</v>
      </c>
      <c r="G212" s="32">
        <v>0</v>
      </c>
      <c r="H212" s="32">
        <v>0</v>
      </c>
      <c r="I212" s="32">
        <v>0</v>
      </c>
      <c r="J212" s="32">
        <v>0</v>
      </c>
      <c r="K212" s="34">
        <v>0</v>
      </c>
      <c r="L212" s="32">
        <v>0</v>
      </c>
      <c r="M212" s="32">
        <v>0</v>
      </c>
      <c r="N212" s="32">
        <v>0</v>
      </c>
      <c r="O212" s="32">
        <v>0</v>
      </c>
      <c r="P212" s="32">
        <v>0</v>
      </c>
      <c r="Q212" s="32">
        <v>808.48</v>
      </c>
      <c r="R212" s="32">
        <v>3796066.08</v>
      </c>
      <c r="S212" s="32">
        <v>0</v>
      </c>
      <c r="T212" s="32">
        <v>0</v>
      </c>
      <c r="U212" s="32">
        <v>0</v>
      </c>
      <c r="V212" s="32">
        <v>0</v>
      </c>
      <c r="W212" s="32">
        <v>0</v>
      </c>
      <c r="X212" s="32">
        <v>0</v>
      </c>
      <c r="Y212" s="32">
        <v>0</v>
      </c>
      <c r="Z212" s="32">
        <v>0</v>
      </c>
      <c r="AA212" s="32">
        <v>0</v>
      </c>
      <c r="AB212" s="32">
        <v>0</v>
      </c>
      <c r="AC212" s="32">
        <f>ROUND(R212*1.5%,2)</f>
        <v>56940.99</v>
      </c>
      <c r="AD212" s="32">
        <v>0</v>
      </c>
      <c r="AE212" s="32">
        <v>0</v>
      </c>
      <c r="AF212" s="35" t="s">
        <v>275</v>
      </c>
      <c r="AG212" s="35">
        <v>2020</v>
      </c>
      <c r="AH212" s="36">
        <v>2020</v>
      </c>
    </row>
    <row r="213" spans="1:46" ht="61.5" x14ac:dyDescent="0.85">
      <c r="A213" s="21">
        <v>1</v>
      </c>
      <c r="B213" s="70">
        <f>SUBTOTAL(103,$A$22:A213)</f>
        <v>189</v>
      </c>
      <c r="C213" s="25" t="s">
        <v>1251</v>
      </c>
      <c r="D213" s="32">
        <f t="shared" si="52"/>
        <v>3073982.0300000003</v>
      </c>
      <c r="E213" s="32">
        <v>96377</v>
      </c>
      <c r="F213" s="32">
        <v>0</v>
      </c>
      <c r="G213" s="32">
        <v>2023822.85</v>
      </c>
      <c r="H213" s="32">
        <v>178273.87</v>
      </c>
      <c r="I213" s="32">
        <v>730080</v>
      </c>
      <c r="J213" s="32">
        <v>0</v>
      </c>
      <c r="K213" s="34">
        <v>0</v>
      </c>
      <c r="L213" s="32">
        <v>0</v>
      </c>
      <c r="M213" s="32">
        <v>0</v>
      </c>
      <c r="N213" s="32">
        <v>0</v>
      </c>
      <c r="O213" s="32">
        <v>0</v>
      </c>
      <c r="P213" s="32">
        <v>0</v>
      </c>
      <c r="Q213" s="32">
        <v>0</v>
      </c>
      <c r="R213" s="32">
        <v>0</v>
      </c>
      <c r="S213" s="32">
        <v>0</v>
      </c>
      <c r="T213" s="32">
        <v>0</v>
      </c>
      <c r="U213" s="32">
        <v>0</v>
      </c>
      <c r="V213" s="32">
        <v>0</v>
      </c>
      <c r="W213" s="32">
        <v>0</v>
      </c>
      <c r="X213" s="32">
        <v>0</v>
      </c>
      <c r="Y213" s="32">
        <v>0</v>
      </c>
      <c r="Z213" s="32">
        <v>0</v>
      </c>
      <c r="AA213" s="32">
        <v>0</v>
      </c>
      <c r="AB213" s="32">
        <v>0</v>
      </c>
      <c r="AC213" s="32">
        <f t="shared" ref="AC213" si="57">ROUND((E213+F213+G213+H213+I213+J213)*1.5%,2)</f>
        <v>45428.31</v>
      </c>
      <c r="AD213" s="32">
        <v>0</v>
      </c>
      <c r="AE213" s="32">
        <v>0</v>
      </c>
      <c r="AF213" s="35" t="s">
        <v>275</v>
      </c>
      <c r="AG213" s="35">
        <v>2020</v>
      </c>
      <c r="AH213" s="36">
        <v>2020</v>
      </c>
    </row>
    <row r="214" spans="1:46" ht="61.5" x14ac:dyDescent="0.85">
      <c r="A214" s="21">
        <v>1</v>
      </c>
      <c r="B214" s="70">
        <f>SUBTOTAL(103,$A$22:A214)</f>
        <v>190</v>
      </c>
      <c r="C214" s="25" t="s">
        <v>1252</v>
      </c>
      <c r="D214" s="32">
        <f t="shared" si="52"/>
        <v>5597667.4300000006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4">
        <v>0</v>
      </c>
      <c r="L214" s="32">
        <v>0</v>
      </c>
      <c r="M214" s="32">
        <v>1206.22</v>
      </c>
      <c r="N214" s="32">
        <v>5514943.2800000003</v>
      </c>
      <c r="O214" s="32">
        <v>0</v>
      </c>
      <c r="P214" s="32">
        <v>0</v>
      </c>
      <c r="Q214" s="32">
        <v>0</v>
      </c>
      <c r="R214" s="32">
        <v>0</v>
      </c>
      <c r="S214" s="32">
        <v>0</v>
      </c>
      <c r="T214" s="32">
        <v>0</v>
      </c>
      <c r="U214" s="32">
        <v>0</v>
      </c>
      <c r="V214" s="32">
        <v>0</v>
      </c>
      <c r="W214" s="32">
        <v>0</v>
      </c>
      <c r="X214" s="32">
        <v>0</v>
      </c>
      <c r="Y214" s="32">
        <v>0</v>
      </c>
      <c r="Z214" s="32">
        <v>0</v>
      </c>
      <c r="AA214" s="32">
        <v>0</v>
      </c>
      <c r="AB214" s="32">
        <v>0</v>
      </c>
      <c r="AC214" s="32">
        <f>ROUND(N214*1.5%,2)</f>
        <v>82724.149999999994</v>
      </c>
      <c r="AD214" s="32">
        <v>0</v>
      </c>
      <c r="AE214" s="32">
        <v>0</v>
      </c>
      <c r="AF214" s="35" t="s">
        <v>275</v>
      </c>
      <c r="AG214" s="35">
        <v>2020</v>
      </c>
      <c r="AH214" s="36">
        <v>2020</v>
      </c>
    </row>
    <row r="215" spans="1:46" ht="61.5" x14ac:dyDescent="0.85">
      <c r="A215" s="21">
        <v>1</v>
      </c>
      <c r="B215" s="70">
        <f>SUBTOTAL(103,$A$22:A215)</f>
        <v>191</v>
      </c>
      <c r="C215" s="25" t="s">
        <v>1253</v>
      </c>
      <c r="D215" s="32">
        <f t="shared" si="52"/>
        <v>1085133.2</v>
      </c>
      <c r="E215" s="32">
        <v>0</v>
      </c>
      <c r="F215" s="32">
        <v>0</v>
      </c>
      <c r="G215" s="32">
        <v>0</v>
      </c>
      <c r="H215" s="32">
        <v>192508.97</v>
      </c>
      <c r="I215" s="32">
        <v>876587.78</v>
      </c>
      <c r="J215" s="32">
        <v>0</v>
      </c>
      <c r="K215" s="34">
        <v>0</v>
      </c>
      <c r="L215" s="32">
        <v>0</v>
      </c>
      <c r="M215" s="32">
        <v>0</v>
      </c>
      <c r="N215" s="32">
        <v>0</v>
      </c>
      <c r="O215" s="32">
        <v>0</v>
      </c>
      <c r="P215" s="32">
        <v>0</v>
      </c>
      <c r="Q215" s="32">
        <v>0</v>
      </c>
      <c r="R215" s="32">
        <v>0</v>
      </c>
      <c r="S215" s="32">
        <v>0</v>
      </c>
      <c r="T215" s="32">
        <v>0</v>
      </c>
      <c r="U215" s="32">
        <v>0</v>
      </c>
      <c r="V215" s="32">
        <v>0</v>
      </c>
      <c r="W215" s="32">
        <v>0</v>
      </c>
      <c r="X215" s="32">
        <v>0</v>
      </c>
      <c r="Y215" s="32">
        <v>0</v>
      </c>
      <c r="Z215" s="32">
        <v>0</v>
      </c>
      <c r="AA215" s="32">
        <v>0</v>
      </c>
      <c r="AB215" s="32">
        <v>0</v>
      </c>
      <c r="AC215" s="32">
        <f t="shared" ref="AC215" si="58">ROUND((E215+F215+G215+H215+I215+J215)*1.5%,2)</f>
        <v>16036.45</v>
      </c>
      <c r="AD215" s="32">
        <v>0</v>
      </c>
      <c r="AE215" s="32">
        <v>0</v>
      </c>
      <c r="AF215" s="35" t="s">
        <v>275</v>
      </c>
      <c r="AG215" s="35">
        <v>2020</v>
      </c>
      <c r="AH215" s="36">
        <v>2020</v>
      </c>
    </row>
    <row r="216" spans="1:46" ht="61.5" x14ac:dyDescent="0.85">
      <c r="A216" s="21">
        <v>1</v>
      </c>
      <c r="B216" s="70">
        <f>SUBTOTAL(103,$A$22:A216)</f>
        <v>192</v>
      </c>
      <c r="C216" s="25" t="s">
        <v>1254</v>
      </c>
      <c r="D216" s="32">
        <f t="shared" si="52"/>
        <v>3913221.0100000002</v>
      </c>
      <c r="E216" s="32">
        <v>0</v>
      </c>
      <c r="F216" s="32">
        <v>0</v>
      </c>
      <c r="G216" s="32">
        <v>0</v>
      </c>
      <c r="H216" s="32">
        <v>0</v>
      </c>
      <c r="I216" s="32">
        <v>0</v>
      </c>
      <c r="J216" s="32">
        <v>0</v>
      </c>
      <c r="K216" s="34">
        <v>0</v>
      </c>
      <c r="L216" s="32">
        <v>0</v>
      </c>
      <c r="M216" s="32">
        <v>0</v>
      </c>
      <c r="N216" s="32">
        <v>0</v>
      </c>
      <c r="O216" s="32">
        <v>0</v>
      </c>
      <c r="P216" s="32">
        <v>0</v>
      </c>
      <c r="Q216" s="32">
        <v>2100</v>
      </c>
      <c r="R216" s="32">
        <v>3737163.56</v>
      </c>
      <c r="S216" s="32">
        <v>0</v>
      </c>
      <c r="T216" s="32">
        <v>0</v>
      </c>
      <c r="U216" s="32">
        <v>0</v>
      </c>
      <c r="V216" s="32">
        <v>0</v>
      </c>
      <c r="W216" s="32">
        <v>0</v>
      </c>
      <c r="X216" s="32">
        <v>0</v>
      </c>
      <c r="Y216" s="32">
        <v>0</v>
      </c>
      <c r="Z216" s="32">
        <v>0</v>
      </c>
      <c r="AA216" s="32">
        <v>0</v>
      </c>
      <c r="AB216" s="32">
        <v>0</v>
      </c>
      <c r="AC216" s="32">
        <f>ROUND(R216*1.5%,2)</f>
        <v>56057.45</v>
      </c>
      <c r="AD216" s="32">
        <v>0</v>
      </c>
      <c r="AE216" s="32">
        <v>120000</v>
      </c>
      <c r="AF216" s="35" t="s">
        <v>275</v>
      </c>
      <c r="AG216" s="35">
        <v>2020</v>
      </c>
      <c r="AH216" s="36">
        <v>2020</v>
      </c>
    </row>
    <row r="217" spans="1:46" ht="61.5" x14ac:dyDescent="0.85">
      <c r="A217" s="21">
        <v>1</v>
      </c>
      <c r="B217" s="70">
        <f>SUBTOTAL(103,$A$22:A217)</f>
        <v>193</v>
      </c>
      <c r="C217" s="25" t="s">
        <v>1255</v>
      </c>
      <c r="D217" s="32">
        <f t="shared" si="52"/>
        <v>4087616.94</v>
      </c>
      <c r="E217" s="32">
        <v>0</v>
      </c>
      <c r="F217" s="32">
        <v>0</v>
      </c>
      <c r="G217" s="32">
        <v>0</v>
      </c>
      <c r="H217" s="32">
        <v>0</v>
      </c>
      <c r="I217" s="32">
        <v>0</v>
      </c>
      <c r="J217" s="32">
        <v>0</v>
      </c>
      <c r="K217" s="34">
        <v>0</v>
      </c>
      <c r="L217" s="32">
        <v>0</v>
      </c>
      <c r="M217" s="32">
        <v>1137.3</v>
      </c>
      <c r="N217" s="32">
        <v>4027208.81</v>
      </c>
      <c r="O217" s="32">
        <v>0</v>
      </c>
      <c r="P217" s="32">
        <v>0</v>
      </c>
      <c r="Q217" s="32">
        <v>0</v>
      </c>
      <c r="R217" s="32">
        <v>0</v>
      </c>
      <c r="S217" s="32">
        <v>0</v>
      </c>
      <c r="T217" s="32">
        <v>0</v>
      </c>
      <c r="U217" s="32">
        <v>0</v>
      </c>
      <c r="V217" s="32">
        <v>0</v>
      </c>
      <c r="W217" s="32">
        <v>0</v>
      </c>
      <c r="X217" s="32">
        <v>0</v>
      </c>
      <c r="Y217" s="32">
        <v>0</v>
      </c>
      <c r="Z217" s="32">
        <v>0</v>
      </c>
      <c r="AA217" s="32">
        <v>0</v>
      </c>
      <c r="AB217" s="32">
        <v>0</v>
      </c>
      <c r="AC217" s="32">
        <f>ROUND(N217*1.5%,2)</f>
        <v>60408.13</v>
      </c>
      <c r="AD217" s="32">
        <v>0</v>
      </c>
      <c r="AE217" s="32">
        <v>0</v>
      </c>
      <c r="AF217" s="35" t="s">
        <v>275</v>
      </c>
      <c r="AG217" s="35">
        <v>2020</v>
      </c>
      <c r="AH217" s="36">
        <v>2020</v>
      </c>
    </row>
    <row r="218" spans="1:46" ht="61.5" x14ac:dyDescent="0.85">
      <c r="A218" s="21">
        <v>1</v>
      </c>
      <c r="B218" s="70">
        <f>SUBTOTAL(103,$A$22:A218)</f>
        <v>194</v>
      </c>
      <c r="C218" s="25" t="s">
        <v>1256</v>
      </c>
      <c r="D218" s="32">
        <f t="shared" si="52"/>
        <v>1739206.6500000001</v>
      </c>
      <c r="E218" s="32">
        <v>0</v>
      </c>
      <c r="F218" s="32">
        <v>0</v>
      </c>
      <c r="G218" s="32">
        <v>0</v>
      </c>
      <c r="H218" s="32">
        <v>0</v>
      </c>
      <c r="I218" s="32">
        <v>0</v>
      </c>
      <c r="J218" s="32">
        <v>0</v>
      </c>
      <c r="K218" s="34">
        <v>0</v>
      </c>
      <c r="L218" s="32">
        <v>0</v>
      </c>
      <c r="M218" s="32">
        <v>0</v>
      </c>
      <c r="N218" s="32">
        <v>0</v>
      </c>
      <c r="O218" s="32">
        <v>0</v>
      </c>
      <c r="P218" s="32">
        <v>0</v>
      </c>
      <c r="Q218" s="32">
        <v>364.88</v>
      </c>
      <c r="R218" s="32">
        <v>1713504.09</v>
      </c>
      <c r="S218" s="32">
        <v>0</v>
      </c>
      <c r="T218" s="32">
        <v>0</v>
      </c>
      <c r="U218" s="32">
        <v>0</v>
      </c>
      <c r="V218" s="32">
        <v>0</v>
      </c>
      <c r="W218" s="32">
        <v>0</v>
      </c>
      <c r="X218" s="32">
        <v>0</v>
      </c>
      <c r="Y218" s="32">
        <v>0</v>
      </c>
      <c r="Z218" s="32">
        <v>0</v>
      </c>
      <c r="AA218" s="32">
        <v>0</v>
      </c>
      <c r="AB218" s="32">
        <v>0</v>
      </c>
      <c r="AC218" s="32">
        <f>ROUND(R218*1.5%,2)</f>
        <v>25702.560000000001</v>
      </c>
      <c r="AD218" s="32">
        <v>0</v>
      </c>
      <c r="AE218" s="32">
        <v>0</v>
      </c>
      <c r="AF218" s="35" t="s">
        <v>275</v>
      </c>
      <c r="AG218" s="35">
        <v>2020</v>
      </c>
      <c r="AH218" s="36">
        <v>2020</v>
      </c>
    </row>
    <row r="219" spans="1:46" ht="61.5" x14ac:dyDescent="0.85">
      <c r="A219" s="21">
        <v>1</v>
      </c>
      <c r="B219" s="70">
        <f>SUBTOTAL(103,$A$22:A219)</f>
        <v>195</v>
      </c>
      <c r="C219" s="25" t="s">
        <v>1257</v>
      </c>
      <c r="D219" s="32">
        <f t="shared" si="52"/>
        <v>4419889.76</v>
      </c>
      <c r="E219" s="32">
        <v>0</v>
      </c>
      <c r="F219" s="32">
        <v>0</v>
      </c>
      <c r="G219" s="32">
        <v>0</v>
      </c>
      <c r="H219" s="32">
        <v>0</v>
      </c>
      <c r="I219" s="32">
        <v>0</v>
      </c>
      <c r="J219" s="32">
        <v>0</v>
      </c>
      <c r="K219" s="34">
        <v>3</v>
      </c>
      <c r="L219" s="32">
        <v>4419889.76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0</v>
      </c>
      <c r="S219" s="32">
        <v>0</v>
      </c>
      <c r="T219" s="32">
        <v>0</v>
      </c>
      <c r="U219" s="32">
        <v>0</v>
      </c>
      <c r="V219" s="32">
        <v>0</v>
      </c>
      <c r="W219" s="32">
        <v>0</v>
      </c>
      <c r="X219" s="32">
        <v>0</v>
      </c>
      <c r="Y219" s="32">
        <v>0</v>
      </c>
      <c r="Z219" s="32">
        <v>0</v>
      </c>
      <c r="AA219" s="32">
        <v>0</v>
      </c>
      <c r="AB219" s="32">
        <v>0</v>
      </c>
      <c r="AC219" s="32">
        <v>0</v>
      </c>
      <c r="AD219" s="32">
        <v>0</v>
      </c>
      <c r="AE219" s="32">
        <v>0</v>
      </c>
      <c r="AF219" s="35" t="s">
        <v>275</v>
      </c>
      <c r="AG219" s="35">
        <v>2020</v>
      </c>
      <c r="AH219" s="36" t="s">
        <v>275</v>
      </c>
    </row>
    <row r="220" spans="1:46" ht="61.5" x14ac:dyDescent="0.85">
      <c r="A220" s="21">
        <v>1</v>
      </c>
      <c r="B220" s="70">
        <f>SUBTOTAL(103,$A$22:A220)</f>
        <v>196</v>
      </c>
      <c r="C220" s="25" t="s">
        <v>1258</v>
      </c>
      <c r="D220" s="32">
        <f t="shared" si="52"/>
        <v>2731365</v>
      </c>
      <c r="E220" s="32">
        <v>0</v>
      </c>
      <c r="F220" s="32">
        <v>0</v>
      </c>
      <c r="G220" s="32">
        <v>0</v>
      </c>
      <c r="H220" s="32">
        <v>0</v>
      </c>
      <c r="I220" s="32">
        <v>0</v>
      </c>
      <c r="J220" s="32">
        <v>0</v>
      </c>
      <c r="K220" s="34">
        <v>0</v>
      </c>
      <c r="L220" s="32">
        <v>0</v>
      </c>
      <c r="M220" s="32">
        <v>0</v>
      </c>
      <c r="N220" s="32">
        <v>0</v>
      </c>
      <c r="O220" s="32">
        <v>0</v>
      </c>
      <c r="P220" s="32">
        <v>0</v>
      </c>
      <c r="Q220" s="32">
        <v>519.4</v>
      </c>
      <c r="R220" s="32">
        <v>2691000</v>
      </c>
      <c r="S220" s="32">
        <v>0</v>
      </c>
      <c r="T220" s="32">
        <v>0</v>
      </c>
      <c r="U220" s="32">
        <v>0</v>
      </c>
      <c r="V220" s="32">
        <v>0</v>
      </c>
      <c r="W220" s="32">
        <v>0</v>
      </c>
      <c r="X220" s="32">
        <v>0</v>
      </c>
      <c r="Y220" s="32">
        <v>0</v>
      </c>
      <c r="Z220" s="32">
        <v>0</v>
      </c>
      <c r="AA220" s="32">
        <v>0</v>
      </c>
      <c r="AB220" s="32">
        <v>0</v>
      </c>
      <c r="AC220" s="32">
        <f t="shared" ref="AC220:AC221" si="59">ROUND(R220*1.5%,2)</f>
        <v>40365</v>
      </c>
      <c r="AD220" s="32">
        <v>0</v>
      </c>
      <c r="AE220" s="32">
        <v>0</v>
      </c>
      <c r="AF220" s="35" t="s">
        <v>275</v>
      </c>
      <c r="AG220" s="35">
        <v>2020</v>
      </c>
      <c r="AH220" s="36">
        <v>2020</v>
      </c>
    </row>
    <row r="221" spans="1:46" ht="61.5" x14ac:dyDescent="0.85">
      <c r="A221" s="21">
        <v>1</v>
      </c>
      <c r="B221" s="70">
        <f>SUBTOTAL(103,$A$22:A221)</f>
        <v>197</v>
      </c>
      <c r="C221" s="25" t="s">
        <v>1259</v>
      </c>
      <c r="D221" s="32">
        <f t="shared" si="52"/>
        <v>484100.29</v>
      </c>
      <c r="E221" s="32">
        <v>0</v>
      </c>
      <c r="F221" s="32">
        <v>0</v>
      </c>
      <c r="G221" s="32">
        <v>0</v>
      </c>
      <c r="H221" s="32">
        <v>0</v>
      </c>
      <c r="I221" s="32">
        <v>0</v>
      </c>
      <c r="J221" s="32">
        <v>0</v>
      </c>
      <c r="K221" s="34">
        <v>0</v>
      </c>
      <c r="L221" s="32">
        <v>0</v>
      </c>
      <c r="M221" s="32">
        <v>0</v>
      </c>
      <c r="N221" s="32">
        <v>0</v>
      </c>
      <c r="O221" s="32">
        <v>0</v>
      </c>
      <c r="P221" s="32">
        <v>0</v>
      </c>
      <c r="Q221" s="32">
        <v>150</v>
      </c>
      <c r="R221" s="32">
        <v>378423.93</v>
      </c>
      <c r="S221" s="32">
        <v>0</v>
      </c>
      <c r="T221" s="32">
        <v>0</v>
      </c>
      <c r="U221" s="32">
        <v>0</v>
      </c>
      <c r="V221" s="32">
        <v>0</v>
      </c>
      <c r="W221" s="32">
        <v>0</v>
      </c>
      <c r="X221" s="32">
        <v>0</v>
      </c>
      <c r="Y221" s="32">
        <v>0</v>
      </c>
      <c r="Z221" s="32">
        <v>0</v>
      </c>
      <c r="AA221" s="32">
        <v>0</v>
      </c>
      <c r="AB221" s="32">
        <v>0</v>
      </c>
      <c r="AC221" s="32">
        <f t="shared" si="59"/>
        <v>5676.36</v>
      </c>
      <c r="AD221" s="32">
        <v>100000</v>
      </c>
      <c r="AE221" s="32">
        <v>0</v>
      </c>
      <c r="AF221" s="35">
        <v>2020</v>
      </c>
      <c r="AG221" s="35">
        <v>2020</v>
      </c>
      <c r="AH221" s="36">
        <v>2020</v>
      </c>
    </row>
    <row r="222" spans="1:46" ht="61.5" x14ac:dyDescent="0.85">
      <c r="A222" s="21">
        <v>1</v>
      </c>
      <c r="B222" s="70">
        <f>SUBTOTAL(103,$A$22:A222)</f>
        <v>198</v>
      </c>
      <c r="C222" s="25" t="s">
        <v>1260</v>
      </c>
      <c r="D222" s="32">
        <f t="shared" si="52"/>
        <v>7889085.5</v>
      </c>
      <c r="E222" s="32">
        <v>0</v>
      </c>
      <c r="F222" s="32">
        <v>0</v>
      </c>
      <c r="G222" s="32">
        <v>0</v>
      </c>
      <c r="H222" s="32">
        <v>0</v>
      </c>
      <c r="I222" s="32">
        <v>0</v>
      </c>
      <c r="J222" s="32">
        <v>0</v>
      </c>
      <c r="K222" s="34">
        <v>4</v>
      </c>
      <c r="L222" s="32">
        <v>7889085.5</v>
      </c>
      <c r="M222" s="32">
        <v>0</v>
      </c>
      <c r="N222" s="32">
        <v>0</v>
      </c>
      <c r="O222" s="32">
        <v>0</v>
      </c>
      <c r="P222" s="32">
        <v>0</v>
      </c>
      <c r="Q222" s="32">
        <v>0</v>
      </c>
      <c r="R222" s="32">
        <v>0</v>
      </c>
      <c r="S222" s="32">
        <v>0</v>
      </c>
      <c r="T222" s="32">
        <v>0</v>
      </c>
      <c r="U222" s="32">
        <v>0</v>
      </c>
      <c r="V222" s="32">
        <v>0</v>
      </c>
      <c r="W222" s="32">
        <v>0</v>
      </c>
      <c r="X222" s="32">
        <v>0</v>
      </c>
      <c r="Y222" s="32">
        <v>0</v>
      </c>
      <c r="Z222" s="32">
        <v>0</v>
      </c>
      <c r="AA222" s="32">
        <v>0</v>
      </c>
      <c r="AB222" s="32">
        <v>0</v>
      </c>
      <c r="AC222" s="32">
        <v>0</v>
      </c>
      <c r="AD222" s="32">
        <v>0</v>
      </c>
      <c r="AE222" s="32">
        <v>0</v>
      </c>
      <c r="AF222" s="35" t="s">
        <v>275</v>
      </c>
      <c r="AG222" s="35">
        <v>2020</v>
      </c>
      <c r="AH222" s="36" t="s">
        <v>275</v>
      </c>
    </row>
    <row r="223" spans="1:46" ht="61.5" x14ac:dyDescent="0.85">
      <c r="A223" s="21">
        <v>1</v>
      </c>
      <c r="B223" s="70">
        <f>SUBTOTAL(103,$A$22:A223)</f>
        <v>199</v>
      </c>
      <c r="C223" s="25" t="s">
        <v>1374</v>
      </c>
      <c r="D223" s="32">
        <f t="shared" si="52"/>
        <v>6422564.7000000002</v>
      </c>
      <c r="E223" s="32">
        <v>0</v>
      </c>
      <c r="F223" s="32">
        <v>0</v>
      </c>
      <c r="G223" s="32">
        <v>0</v>
      </c>
      <c r="H223" s="32">
        <v>0</v>
      </c>
      <c r="I223" s="32">
        <v>0</v>
      </c>
      <c r="J223" s="32">
        <v>0</v>
      </c>
      <c r="K223" s="34">
        <v>0</v>
      </c>
      <c r="L223" s="32">
        <v>0</v>
      </c>
      <c r="M223" s="32">
        <v>1548.79</v>
      </c>
      <c r="N223" s="32">
        <f>6669512.32+1022599.21-1561505.91</f>
        <v>6130605.6200000001</v>
      </c>
      <c r="O223" s="32">
        <v>0</v>
      </c>
      <c r="P223" s="32">
        <v>0</v>
      </c>
      <c r="Q223" s="32">
        <v>0</v>
      </c>
      <c r="R223" s="32">
        <v>0</v>
      </c>
      <c r="S223" s="32">
        <v>0</v>
      </c>
      <c r="T223" s="32">
        <v>0</v>
      </c>
      <c r="U223" s="32">
        <v>0</v>
      </c>
      <c r="V223" s="32">
        <v>0</v>
      </c>
      <c r="W223" s="32">
        <v>0</v>
      </c>
      <c r="X223" s="32">
        <v>0</v>
      </c>
      <c r="Y223" s="32">
        <v>0</v>
      </c>
      <c r="Z223" s="32">
        <v>0</v>
      </c>
      <c r="AA223" s="32">
        <v>0</v>
      </c>
      <c r="AB223" s="32">
        <v>0</v>
      </c>
      <c r="AC223" s="32">
        <f>ROUND(N223*1.5%,2)</f>
        <v>91959.08</v>
      </c>
      <c r="AD223" s="32">
        <v>200000</v>
      </c>
      <c r="AE223" s="32">
        <v>0</v>
      </c>
      <c r="AF223" s="35">
        <v>2020</v>
      </c>
      <c r="AG223" s="35">
        <v>2020</v>
      </c>
      <c r="AH223" s="36">
        <v>2020</v>
      </c>
    </row>
    <row r="224" spans="1:46" ht="61.5" x14ac:dyDescent="0.85">
      <c r="A224" s="21">
        <v>1</v>
      </c>
      <c r="B224" s="70">
        <f>SUBTOTAL(103,$A$22:A224)</f>
        <v>200</v>
      </c>
      <c r="C224" s="25" t="s">
        <v>1478</v>
      </c>
      <c r="D224" s="32">
        <f t="shared" si="52"/>
        <v>15276776.880000001</v>
      </c>
      <c r="E224" s="32">
        <v>0</v>
      </c>
      <c r="F224" s="32">
        <v>0</v>
      </c>
      <c r="G224" s="32">
        <v>0</v>
      </c>
      <c r="H224" s="32">
        <v>0</v>
      </c>
      <c r="I224" s="32">
        <v>0</v>
      </c>
      <c r="J224" s="32">
        <v>0</v>
      </c>
      <c r="K224" s="34">
        <v>9</v>
      </c>
      <c r="L224" s="32">
        <v>15276776.880000001</v>
      </c>
      <c r="M224" s="32">
        <v>0</v>
      </c>
      <c r="N224" s="32">
        <v>0</v>
      </c>
      <c r="O224" s="32">
        <v>0</v>
      </c>
      <c r="P224" s="32">
        <v>0</v>
      </c>
      <c r="Q224" s="32">
        <v>0</v>
      </c>
      <c r="R224" s="32">
        <v>0</v>
      </c>
      <c r="S224" s="32">
        <v>0</v>
      </c>
      <c r="T224" s="32">
        <v>0</v>
      </c>
      <c r="U224" s="32">
        <v>0</v>
      </c>
      <c r="V224" s="32">
        <v>0</v>
      </c>
      <c r="W224" s="32">
        <v>0</v>
      </c>
      <c r="X224" s="32">
        <v>0</v>
      </c>
      <c r="Y224" s="32">
        <v>0</v>
      </c>
      <c r="Z224" s="32">
        <v>0</v>
      </c>
      <c r="AA224" s="32">
        <v>0</v>
      </c>
      <c r="AB224" s="32">
        <v>0</v>
      </c>
      <c r="AC224" s="32">
        <v>0</v>
      </c>
      <c r="AD224" s="32">
        <v>0</v>
      </c>
      <c r="AE224" s="32">
        <v>0</v>
      </c>
      <c r="AF224" s="35" t="s">
        <v>275</v>
      </c>
      <c r="AG224" s="35">
        <v>2020</v>
      </c>
      <c r="AH224" s="36" t="s">
        <v>275</v>
      </c>
    </row>
    <row r="225" spans="1:46" ht="61.5" x14ac:dyDescent="0.85">
      <c r="A225" s="21">
        <v>1</v>
      </c>
      <c r="B225" s="70">
        <f>SUBTOTAL(103,$A$22:A225)</f>
        <v>201</v>
      </c>
      <c r="C225" s="25" t="s">
        <v>1494</v>
      </c>
      <c r="D225" s="32">
        <v>5917123.5099999998</v>
      </c>
      <c r="E225" s="32">
        <v>0</v>
      </c>
      <c r="F225" s="32">
        <v>0</v>
      </c>
      <c r="G225" s="32">
        <v>0</v>
      </c>
      <c r="H225" s="32">
        <v>0</v>
      </c>
      <c r="I225" s="32">
        <v>0</v>
      </c>
      <c r="J225" s="32">
        <v>0</v>
      </c>
      <c r="K225" s="34">
        <v>3</v>
      </c>
      <c r="L225" s="32">
        <v>5917123.5099999998</v>
      </c>
      <c r="M225" s="32">
        <v>0</v>
      </c>
      <c r="N225" s="32">
        <v>0</v>
      </c>
      <c r="O225" s="32">
        <v>0</v>
      </c>
      <c r="P225" s="32">
        <v>0</v>
      </c>
      <c r="Q225" s="32">
        <v>0</v>
      </c>
      <c r="R225" s="32">
        <v>0</v>
      </c>
      <c r="S225" s="32">
        <v>0</v>
      </c>
      <c r="T225" s="32">
        <v>0</v>
      </c>
      <c r="U225" s="32">
        <v>0</v>
      </c>
      <c r="V225" s="32">
        <v>0</v>
      </c>
      <c r="W225" s="32">
        <v>0</v>
      </c>
      <c r="X225" s="32">
        <v>0</v>
      </c>
      <c r="Y225" s="32">
        <v>0</v>
      </c>
      <c r="Z225" s="32">
        <v>0</v>
      </c>
      <c r="AA225" s="32">
        <v>0</v>
      </c>
      <c r="AB225" s="32">
        <v>0</v>
      </c>
      <c r="AC225" s="32">
        <v>0</v>
      </c>
      <c r="AD225" s="32">
        <v>0</v>
      </c>
      <c r="AE225" s="32">
        <v>0</v>
      </c>
      <c r="AF225" s="35" t="s">
        <v>275</v>
      </c>
      <c r="AG225" s="35">
        <v>2020</v>
      </c>
      <c r="AH225" s="36" t="s">
        <v>275</v>
      </c>
    </row>
    <row r="226" spans="1:46" ht="61.5" x14ac:dyDescent="0.85">
      <c r="A226" s="21">
        <v>1</v>
      </c>
      <c r="B226" s="70">
        <f>SUBTOTAL(103,$A$22:A226)</f>
        <v>202</v>
      </c>
      <c r="C226" s="25" t="s">
        <v>1495</v>
      </c>
      <c r="D226" s="32">
        <v>7896847.4199999999</v>
      </c>
      <c r="E226" s="32">
        <v>0</v>
      </c>
      <c r="F226" s="32">
        <v>0</v>
      </c>
      <c r="G226" s="32">
        <v>0</v>
      </c>
      <c r="H226" s="32">
        <v>0</v>
      </c>
      <c r="I226" s="32">
        <v>0</v>
      </c>
      <c r="J226" s="32">
        <v>0</v>
      </c>
      <c r="K226" s="34">
        <v>4</v>
      </c>
      <c r="L226" s="32">
        <v>7896847.4199999999</v>
      </c>
      <c r="M226" s="32">
        <v>0</v>
      </c>
      <c r="N226" s="32">
        <v>0</v>
      </c>
      <c r="O226" s="32">
        <v>0</v>
      </c>
      <c r="P226" s="32">
        <v>0</v>
      </c>
      <c r="Q226" s="32">
        <v>0</v>
      </c>
      <c r="R226" s="32">
        <v>0</v>
      </c>
      <c r="S226" s="32">
        <v>0</v>
      </c>
      <c r="T226" s="32">
        <v>0</v>
      </c>
      <c r="U226" s="32">
        <v>0</v>
      </c>
      <c r="V226" s="32">
        <v>0</v>
      </c>
      <c r="W226" s="32">
        <v>0</v>
      </c>
      <c r="X226" s="32">
        <v>0</v>
      </c>
      <c r="Y226" s="32">
        <v>0</v>
      </c>
      <c r="Z226" s="32">
        <v>0</v>
      </c>
      <c r="AA226" s="32">
        <v>0</v>
      </c>
      <c r="AB226" s="32">
        <v>0</v>
      </c>
      <c r="AC226" s="32">
        <v>0</v>
      </c>
      <c r="AD226" s="32">
        <v>0</v>
      </c>
      <c r="AE226" s="32">
        <v>0</v>
      </c>
      <c r="AF226" s="35" t="s">
        <v>275</v>
      </c>
      <c r="AG226" s="35">
        <v>2020</v>
      </c>
      <c r="AH226" s="36" t="s">
        <v>275</v>
      </c>
    </row>
    <row r="227" spans="1:46" ht="61.5" x14ac:dyDescent="0.85">
      <c r="A227" s="21">
        <v>1</v>
      </c>
      <c r="B227" s="70">
        <f>SUBTOTAL(103,$A$22:A227)</f>
        <v>203</v>
      </c>
      <c r="C227" s="25" t="s">
        <v>1496</v>
      </c>
      <c r="D227" s="32">
        <v>5718113.29</v>
      </c>
      <c r="E227" s="32">
        <v>0</v>
      </c>
      <c r="F227" s="32">
        <v>0</v>
      </c>
      <c r="G227" s="32">
        <v>0</v>
      </c>
      <c r="H227" s="32">
        <v>0</v>
      </c>
      <c r="I227" s="32">
        <v>0</v>
      </c>
      <c r="J227" s="32">
        <v>0</v>
      </c>
      <c r="K227" s="34">
        <v>3</v>
      </c>
      <c r="L227" s="32">
        <v>5718113.29</v>
      </c>
      <c r="M227" s="32">
        <v>0</v>
      </c>
      <c r="N227" s="32">
        <v>0</v>
      </c>
      <c r="O227" s="32">
        <v>0</v>
      </c>
      <c r="P227" s="32">
        <v>0</v>
      </c>
      <c r="Q227" s="32">
        <v>0</v>
      </c>
      <c r="R227" s="32">
        <v>0</v>
      </c>
      <c r="S227" s="32">
        <v>0</v>
      </c>
      <c r="T227" s="32">
        <v>0</v>
      </c>
      <c r="U227" s="32">
        <v>0</v>
      </c>
      <c r="V227" s="32">
        <v>0</v>
      </c>
      <c r="W227" s="32">
        <v>0</v>
      </c>
      <c r="X227" s="32">
        <v>0</v>
      </c>
      <c r="Y227" s="32">
        <v>0</v>
      </c>
      <c r="Z227" s="32">
        <v>0</v>
      </c>
      <c r="AA227" s="32">
        <v>0</v>
      </c>
      <c r="AB227" s="32">
        <v>0</v>
      </c>
      <c r="AC227" s="32">
        <v>0</v>
      </c>
      <c r="AD227" s="32">
        <v>0</v>
      </c>
      <c r="AE227" s="32">
        <v>0</v>
      </c>
      <c r="AF227" s="35" t="s">
        <v>275</v>
      </c>
      <c r="AG227" s="35">
        <v>2020</v>
      </c>
      <c r="AH227" s="36" t="s">
        <v>275</v>
      </c>
    </row>
    <row r="228" spans="1:46" ht="61.5" x14ac:dyDescent="0.85">
      <c r="A228" s="21">
        <v>1</v>
      </c>
      <c r="B228" s="70">
        <f>SUBTOTAL(103,$A$22:A228)</f>
        <v>204</v>
      </c>
      <c r="C228" s="25" t="s">
        <v>1497</v>
      </c>
      <c r="D228" s="32">
        <v>7889085.5</v>
      </c>
      <c r="E228" s="32">
        <v>0</v>
      </c>
      <c r="F228" s="32">
        <v>0</v>
      </c>
      <c r="G228" s="32">
        <v>0</v>
      </c>
      <c r="H228" s="32">
        <v>0</v>
      </c>
      <c r="I228" s="32">
        <v>0</v>
      </c>
      <c r="J228" s="32">
        <v>0</v>
      </c>
      <c r="K228" s="34">
        <v>4</v>
      </c>
      <c r="L228" s="32">
        <v>7889085.5</v>
      </c>
      <c r="M228" s="32">
        <v>0</v>
      </c>
      <c r="N228" s="32">
        <v>0</v>
      </c>
      <c r="O228" s="32">
        <v>0</v>
      </c>
      <c r="P228" s="32">
        <v>0</v>
      </c>
      <c r="Q228" s="32">
        <v>0</v>
      </c>
      <c r="R228" s="32">
        <v>0</v>
      </c>
      <c r="S228" s="32">
        <v>0</v>
      </c>
      <c r="T228" s="32">
        <v>0</v>
      </c>
      <c r="U228" s="32">
        <v>0</v>
      </c>
      <c r="V228" s="32">
        <v>0</v>
      </c>
      <c r="W228" s="32">
        <v>0</v>
      </c>
      <c r="X228" s="32">
        <v>0</v>
      </c>
      <c r="Y228" s="32">
        <v>0</v>
      </c>
      <c r="Z228" s="32">
        <v>0</v>
      </c>
      <c r="AA228" s="32">
        <v>0</v>
      </c>
      <c r="AB228" s="32">
        <v>0</v>
      </c>
      <c r="AC228" s="32">
        <v>0</v>
      </c>
      <c r="AD228" s="32">
        <v>0</v>
      </c>
      <c r="AE228" s="32">
        <v>0</v>
      </c>
      <c r="AF228" s="35" t="s">
        <v>275</v>
      </c>
      <c r="AG228" s="35">
        <v>2020</v>
      </c>
      <c r="AH228" s="36" t="s">
        <v>275</v>
      </c>
    </row>
    <row r="229" spans="1:46" ht="61.5" x14ac:dyDescent="0.85">
      <c r="A229" s="21">
        <v>1</v>
      </c>
      <c r="B229" s="70">
        <f>SUBTOTAL(103,$A$22:A229)</f>
        <v>205</v>
      </c>
      <c r="C229" s="25" t="s">
        <v>1498</v>
      </c>
      <c r="D229" s="32">
        <v>5900094.2999999998</v>
      </c>
      <c r="E229" s="32">
        <v>0</v>
      </c>
      <c r="F229" s="32">
        <v>0</v>
      </c>
      <c r="G229" s="32">
        <v>0</v>
      </c>
      <c r="H229" s="32">
        <v>0</v>
      </c>
      <c r="I229" s="32">
        <v>0</v>
      </c>
      <c r="J229" s="32">
        <v>0</v>
      </c>
      <c r="K229" s="34">
        <v>3</v>
      </c>
      <c r="L229" s="32">
        <v>5900094.2999999998</v>
      </c>
      <c r="M229" s="32">
        <v>0</v>
      </c>
      <c r="N229" s="32">
        <v>0</v>
      </c>
      <c r="O229" s="32">
        <v>0</v>
      </c>
      <c r="P229" s="32">
        <v>0</v>
      </c>
      <c r="Q229" s="32">
        <v>0</v>
      </c>
      <c r="R229" s="32">
        <v>0</v>
      </c>
      <c r="S229" s="32">
        <v>0</v>
      </c>
      <c r="T229" s="32">
        <v>0</v>
      </c>
      <c r="U229" s="32">
        <v>0</v>
      </c>
      <c r="V229" s="32">
        <v>0</v>
      </c>
      <c r="W229" s="32">
        <v>0</v>
      </c>
      <c r="X229" s="32">
        <v>0</v>
      </c>
      <c r="Y229" s="32">
        <v>0</v>
      </c>
      <c r="Z229" s="32">
        <v>0</v>
      </c>
      <c r="AA229" s="32">
        <v>0</v>
      </c>
      <c r="AB229" s="32">
        <v>0</v>
      </c>
      <c r="AC229" s="32">
        <v>0</v>
      </c>
      <c r="AD229" s="32">
        <v>0</v>
      </c>
      <c r="AE229" s="32">
        <v>0</v>
      </c>
      <c r="AF229" s="35" t="s">
        <v>275</v>
      </c>
      <c r="AG229" s="35">
        <v>2020</v>
      </c>
      <c r="AH229" s="36" t="s">
        <v>275</v>
      </c>
    </row>
    <row r="230" spans="1:46" ht="61.5" x14ac:dyDescent="0.85">
      <c r="B230" s="25" t="s">
        <v>808</v>
      </c>
      <c r="C230" s="110"/>
      <c r="D230" s="32">
        <f>SUM(D231:D235)</f>
        <v>41793239.829999998</v>
      </c>
      <c r="E230" s="32">
        <f t="shared" ref="E230:AE230" si="60">SUM(E231:E235)</f>
        <v>1015124.81</v>
      </c>
      <c r="F230" s="32">
        <f t="shared" si="60"/>
        <v>2275095.06</v>
      </c>
      <c r="G230" s="32">
        <f t="shared" si="60"/>
        <v>5145234.71</v>
      </c>
      <c r="H230" s="32">
        <f t="shared" si="60"/>
        <v>1929179.77</v>
      </c>
      <c r="I230" s="32">
        <f t="shared" si="60"/>
        <v>4212325.93</v>
      </c>
      <c r="J230" s="32">
        <f t="shared" si="60"/>
        <v>0</v>
      </c>
      <c r="K230" s="34">
        <f t="shared" si="60"/>
        <v>2</v>
      </c>
      <c r="L230" s="32">
        <f t="shared" si="60"/>
        <v>3937920.29</v>
      </c>
      <c r="M230" s="32">
        <f t="shared" si="60"/>
        <v>454.6</v>
      </c>
      <c r="N230" s="32">
        <f t="shared" si="60"/>
        <v>2270398.91</v>
      </c>
      <c r="O230" s="32">
        <f t="shared" si="60"/>
        <v>0</v>
      </c>
      <c r="P230" s="32">
        <f t="shared" si="60"/>
        <v>0</v>
      </c>
      <c r="Q230" s="32">
        <f t="shared" si="60"/>
        <v>11118.4</v>
      </c>
      <c r="R230" s="32">
        <f t="shared" si="60"/>
        <v>19936206.870000001</v>
      </c>
      <c r="S230" s="32">
        <f t="shared" si="60"/>
        <v>0</v>
      </c>
      <c r="T230" s="32">
        <f t="shared" si="60"/>
        <v>0</v>
      </c>
      <c r="U230" s="32">
        <f t="shared" si="60"/>
        <v>0</v>
      </c>
      <c r="V230" s="32">
        <f t="shared" si="60"/>
        <v>0</v>
      </c>
      <c r="W230" s="32">
        <f t="shared" si="60"/>
        <v>0</v>
      </c>
      <c r="X230" s="32">
        <f t="shared" si="60"/>
        <v>0</v>
      </c>
      <c r="Y230" s="32">
        <f t="shared" si="60"/>
        <v>0</v>
      </c>
      <c r="Z230" s="32">
        <f t="shared" si="60"/>
        <v>0</v>
      </c>
      <c r="AA230" s="32">
        <f t="shared" si="60"/>
        <v>0</v>
      </c>
      <c r="AB230" s="32">
        <f t="shared" si="60"/>
        <v>0</v>
      </c>
      <c r="AC230" s="32">
        <f t="shared" si="60"/>
        <v>551753.48</v>
      </c>
      <c r="AD230" s="32">
        <f t="shared" si="60"/>
        <v>520000</v>
      </c>
      <c r="AE230" s="32">
        <f t="shared" si="60"/>
        <v>0</v>
      </c>
      <c r="AF230" s="77" t="s">
        <v>801</v>
      </c>
      <c r="AG230" s="77" t="s">
        <v>801</v>
      </c>
      <c r="AH230" s="107" t="s">
        <v>801</v>
      </c>
      <c r="AT230" s="21" t="e">
        <f>VLOOKUP(C230,AW:AX,2,FALSE)</f>
        <v>#N/A</v>
      </c>
    </row>
    <row r="231" spans="1:46" ht="61.5" x14ac:dyDescent="0.85">
      <c r="A231" s="21">
        <v>1</v>
      </c>
      <c r="B231" s="70">
        <f>SUBTOTAL(103,$A$22:A231)</f>
        <v>206</v>
      </c>
      <c r="C231" s="25" t="s">
        <v>397</v>
      </c>
      <c r="D231" s="32">
        <f t="shared" ref="D231:D235" si="61">E231+F231+G231+H231+I231+J231+L231+N231+P231+R231+T231+U231+V231+W231+X231+Y231+Z231+AA231+AB231+AC231+AD231+AE231</f>
        <v>2424454.89</v>
      </c>
      <c r="E231" s="32">
        <v>0</v>
      </c>
      <c r="F231" s="32">
        <v>0</v>
      </c>
      <c r="G231" s="32">
        <v>0</v>
      </c>
      <c r="H231" s="32">
        <v>0</v>
      </c>
      <c r="I231" s="32">
        <v>0</v>
      </c>
      <c r="J231" s="32">
        <v>0</v>
      </c>
      <c r="K231" s="34">
        <v>0</v>
      </c>
      <c r="L231" s="32">
        <v>0</v>
      </c>
      <c r="M231" s="32">
        <v>454.6</v>
      </c>
      <c r="N231" s="32">
        <f>1084694.27+1185704.64</f>
        <v>2270398.91</v>
      </c>
      <c r="O231" s="32">
        <v>0</v>
      </c>
      <c r="P231" s="32">
        <v>0</v>
      </c>
      <c r="Q231" s="32">
        <v>0</v>
      </c>
      <c r="R231" s="32">
        <v>0</v>
      </c>
      <c r="S231" s="32">
        <v>0</v>
      </c>
      <c r="T231" s="32">
        <v>0</v>
      </c>
      <c r="U231" s="32">
        <v>0</v>
      </c>
      <c r="V231" s="32">
        <v>0</v>
      </c>
      <c r="W231" s="32">
        <v>0</v>
      </c>
      <c r="X231" s="32">
        <v>0</v>
      </c>
      <c r="Y231" s="32">
        <v>0</v>
      </c>
      <c r="Z231" s="32">
        <v>0</v>
      </c>
      <c r="AA231" s="32">
        <v>0</v>
      </c>
      <c r="AB231" s="32">
        <v>0</v>
      </c>
      <c r="AC231" s="32">
        <f>ROUND(N231*1.5%,2)</f>
        <v>34055.980000000003</v>
      </c>
      <c r="AD231" s="32">
        <v>120000</v>
      </c>
      <c r="AE231" s="32">
        <v>0</v>
      </c>
      <c r="AF231" s="35">
        <v>2020</v>
      </c>
      <c r="AG231" s="35">
        <v>2020</v>
      </c>
      <c r="AH231" s="36">
        <v>2020</v>
      </c>
      <c r="AT231" s="21" t="e">
        <f>VLOOKUP(C231,AW:AX,2,FALSE)</f>
        <v>#N/A</v>
      </c>
    </row>
    <row r="232" spans="1:46" ht="61.5" x14ac:dyDescent="0.85">
      <c r="A232" s="21">
        <v>1</v>
      </c>
      <c r="B232" s="70">
        <f>SUBTOTAL(103,$A$22:A232)</f>
        <v>207</v>
      </c>
      <c r="C232" s="25" t="s">
        <v>398</v>
      </c>
      <c r="D232" s="32">
        <f t="shared" si="61"/>
        <v>6120000</v>
      </c>
      <c r="E232" s="32">
        <v>0</v>
      </c>
      <c r="F232" s="32">
        <v>0</v>
      </c>
      <c r="G232" s="32">
        <v>0</v>
      </c>
      <c r="H232" s="32">
        <v>0</v>
      </c>
      <c r="I232" s="32">
        <v>0</v>
      </c>
      <c r="J232" s="32">
        <v>0</v>
      </c>
      <c r="K232" s="34">
        <v>0</v>
      </c>
      <c r="L232" s="32">
        <v>0</v>
      </c>
      <c r="M232" s="32">
        <v>0</v>
      </c>
      <c r="N232" s="32">
        <v>0</v>
      </c>
      <c r="O232" s="32">
        <v>0</v>
      </c>
      <c r="P232" s="32">
        <v>0</v>
      </c>
      <c r="Q232" s="32">
        <v>2522.4</v>
      </c>
      <c r="R232" s="32">
        <v>5832512.3200000003</v>
      </c>
      <c r="S232" s="32">
        <v>0</v>
      </c>
      <c r="T232" s="32">
        <v>0</v>
      </c>
      <c r="U232" s="32">
        <v>0</v>
      </c>
      <c r="V232" s="32">
        <v>0</v>
      </c>
      <c r="W232" s="32">
        <v>0</v>
      </c>
      <c r="X232" s="32">
        <v>0</v>
      </c>
      <c r="Y232" s="32">
        <v>0</v>
      </c>
      <c r="Z232" s="32">
        <v>0</v>
      </c>
      <c r="AA232" s="32">
        <v>0</v>
      </c>
      <c r="AB232" s="32">
        <v>0</v>
      </c>
      <c r="AC232" s="32">
        <f t="shared" ref="AC232:AC233" si="62">ROUND(R232*1.5%,2)</f>
        <v>87487.679999999993</v>
      </c>
      <c r="AD232" s="32">
        <v>200000</v>
      </c>
      <c r="AE232" s="32">
        <v>0</v>
      </c>
      <c r="AF232" s="35">
        <v>2020</v>
      </c>
      <c r="AG232" s="35">
        <v>2020</v>
      </c>
      <c r="AH232" s="36">
        <v>2020</v>
      </c>
      <c r="AT232" s="21" t="e">
        <f>VLOOKUP(C232,AW:AX,2,FALSE)</f>
        <v>#N/A</v>
      </c>
    </row>
    <row r="233" spans="1:46" ht="61.5" x14ac:dyDescent="0.85">
      <c r="A233" s="21">
        <v>1</v>
      </c>
      <c r="B233" s="70">
        <f>SUBTOTAL(103,$A$22:A233)</f>
        <v>208</v>
      </c>
      <c r="C233" s="25" t="s">
        <v>399</v>
      </c>
      <c r="D233" s="32">
        <f t="shared" si="61"/>
        <v>14515249.970000001</v>
      </c>
      <c r="E233" s="32">
        <v>0</v>
      </c>
      <c r="F233" s="32">
        <v>0</v>
      </c>
      <c r="G233" s="32">
        <v>0</v>
      </c>
      <c r="H233" s="32">
        <v>0</v>
      </c>
      <c r="I233" s="32">
        <v>0</v>
      </c>
      <c r="J233" s="32">
        <v>0</v>
      </c>
      <c r="K233" s="34">
        <v>0</v>
      </c>
      <c r="L233" s="32">
        <v>0</v>
      </c>
      <c r="M233" s="32">
        <v>0</v>
      </c>
      <c r="N233" s="32">
        <v>0</v>
      </c>
      <c r="O233" s="32">
        <v>0</v>
      </c>
      <c r="P233" s="32">
        <v>0</v>
      </c>
      <c r="Q233" s="32">
        <v>8596</v>
      </c>
      <c r="R233" s="32">
        <v>14103694.550000001</v>
      </c>
      <c r="S233" s="32">
        <v>0</v>
      </c>
      <c r="T233" s="32">
        <v>0</v>
      </c>
      <c r="U233" s="32">
        <v>0</v>
      </c>
      <c r="V233" s="32">
        <v>0</v>
      </c>
      <c r="W233" s="32">
        <v>0</v>
      </c>
      <c r="X233" s="32">
        <v>0</v>
      </c>
      <c r="Y233" s="32">
        <v>0</v>
      </c>
      <c r="Z233" s="32">
        <v>0</v>
      </c>
      <c r="AA233" s="32">
        <v>0</v>
      </c>
      <c r="AB233" s="32">
        <v>0</v>
      </c>
      <c r="AC233" s="32">
        <f t="shared" si="62"/>
        <v>211555.42</v>
      </c>
      <c r="AD233" s="32">
        <v>200000</v>
      </c>
      <c r="AE233" s="32">
        <v>0</v>
      </c>
      <c r="AF233" s="35">
        <v>2020</v>
      </c>
      <c r="AG233" s="35">
        <v>2020</v>
      </c>
      <c r="AH233" s="36">
        <v>2020</v>
      </c>
      <c r="AT233" s="21" t="e">
        <f>VLOOKUP(C233,AW:AX,2,FALSE)</f>
        <v>#N/A</v>
      </c>
    </row>
    <row r="234" spans="1:46" ht="61.5" x14ac:dyDescent="0.85">
      <c r="A234" s="21">
        <v>1</v>
      </c>
      <c r="B234" s="70">
        <f>SUBTOTAL(103,$A$22:A234)</f>
        <v>209</v>
      </c>
      <c r="C234" s="25" t="s">
        <v>1261</v>
      </c>
      <c r="D234" s="32">
        <f t="shared" si="61"/>
        <v>14795614.68</v>
      </c>
      <c r="E234" s="32">
        <v>1015124.81</v>
      </c>
      <c r="F234" s="32">
        <v>2275095.06</v>
      </c>
      <c r="G234" s="32">
        <v>5145234.71</v>
      </c>
      <c r="H234" s="32">
        <v>1929179.77</v>
      </c>
      <c r="I234" s="32">
        <v>4212325.93</v>
      </c>
      <c r="J234" s="32">
        <v>0</v>
      </c>
      <c r="K234" s="34">
        <v>0</v>
      </c>
      <c r="L234" s="32">
        <v>0</v>
      </c>
      <c r="M234" s="32">
        <v>0</v>
      </c>
      <c r="N234" s="32">
        <v>0</v>
      </c>
      <c r="O234" s="32">
        <v>0</v>
      </c>
      <c r="P234" s="32">
        <v>0</v>
      </c>
      <c r="Q234" s="32">
        <v>0</v>
      </c>
      <c r="R234" s="32">
        <v>0</v>
      </c>
      <c r="S234" s="32">
        <v>0</v>
      </c>
      <c r="T234" s="32">
        <v>0</v>
      </c>
      <c r="U234" s="32">
        <v>0</v>
      </c>
      <c r="V234" s="32">
        <v>0</v>
      </c>
      <c r="W234" s="32">
        <v>0</v>
      </c>
      <c r="X234" s="32">
        <v>0</v>
      </c>
      <c r="Y234" s="32">
        <v>0</v>
      </c>
      <c r="Z234" s="32">
        <v>0</v>
      </c>
      <c r="AA234" s="32">
        <v>0</v>
      </c>
      <c r="AB234" s="32">
        <v>0</v>
      </c>
      <c r="AC234" s="32">
        <f t="shared" ref="AC234" si="63">ROUND((E234+F234+G234+H234+I234+J234)*1.5%,2)</f>
        <v>218654.4</v>
      </c>
      <c r="AD234" s="32">
        <v>0</v>
      </c>
      <c r="AE234" s="32">
        <v>0</v>
      </c>
      <c r="AF234" s="35" t="s">
        <v>275</v>
      </c>
      <c r="AG234" s="35">
        <v>2020</v>
      </c>
      <c r="AH234" s="36">
        <v>2020</v>
      </c>
    </row>
    <row r="235" spans="1:46" ht="61.5" x14ac:dyDescent="0.85">
      <c r="A235" s="21">
        <v>1</v>
      </c>
      <c r="B235" s="70">
        <f>SUBTOTAL(103,$A$22:A235)</f>
        <v>210</v>
      </c>
      <c r="C235" s="25" t="s">
        <v>1262</v>
      </c>
      <c r="D235" s="32">
        <f t="shared" si="61"/>
        <v>3937920.29</v>
      </c>
      <c r="E235" s="32">
        <v>0</v>
      </c>
      <c r="F235" s="32">
        <v>0</v>
      </c>
      <c r="G235" s="32">
        <v>0</v>
      </c>
      <c r="H235" s="32">
        <v>0</v>
      </c>
      <c r="I235" s="32">
        <v>0</v>
      </c>
      <c r="J235" s="32">
        <v>0</v>
      </c>
      <c r="K235" s="34">
        <v>2</v>
      </c>
      <c r="L235" s="32">
        <v>3937920.29</v>
      </c>
      <c r="M235" s="32">
        <v>0</v>
      </c>
      <c r="N235" s="32">
        <v>0</v>
      </c>
      <c r="O235" s="32">
        <v>0</v>
      </c>
      <c r="P235" s="32">
        <v>0</v>
      </c>
      <c r="Q235" s="32">
        <v>0</v>
      </c>
      <c r="R235" s="32">
        <v>0</v>
      </c>
      <c r="S235" s="32">
        <v>0</v>
      </c>
      <c r="T235" s="32">
        <v>0</v>
      </c>
      <c r="U235" s="32">
        <v>0</v>
      </c>
      <c r="V235" s="32">
        <v>0</v>
      </c>
      <c r="W235" s="32">
        <v>0</v>
      </c>
      <c r="X235" s="32">
        <v>0</v>
      </c>
      <c r="Y235" s="32">
        <v>0</v>
      </c>
      <c r="Z235" s="32">
        <v>0</v>
      </c>
      <c r="AA235" s="32">
        <v>0</v>
      </c>
      <c r="AB235" s="32">
        <v>0</v>
      </c>
      <c r="AC235" s="32">
        <v>0</v>
      </c>
      <c r="AD235" s="32">
        <v>0</v>
      </c>
      <c r="AE235" s="32">
        <v>0</v>
      </c>
      <c r="AF235" s="35" t="s">
        <v>275</v>
      </c>
      <c r="AG235" s="35">
        <v>2020</v>
      </c>
      <c r="AH235" s="36" t="s">
        <v>275</v>
      </c>
    </row>
    <row r="236" spans="1:46" ht="61.5" x14ac:dyDescent="0.85">
      <c r="B236" s="25" t="s">
        <v>867</v>
      </c>
      <c r="C236" s="110"/>
      <c r="D236" s="32">
        <f t="shared" ref="D236:AE236" si="64">SUM(D237:D265)</f>
        <v>123375949.55000003</v>
      </c>
      <c r="E236" s="32">
        <f t="shared" si="64"/>
        <v>670630.80000000005</v>
      </c>
      <c r="F236" s="32">
        <f t="shared" si="64"/>
        <v>1236886.95</v>
      </c>
      <c r="G236" s="32">
        <f t="shared" si="64"/>
        <v>567639.41</v>
      </c>
      <c r="H236" s="32">
        <f t="shared" si="64"/>
        <v>804650.01</v>
      </c>
      <c r="I236" s="32">
        <f t="shared" si="64"/>
        <v>0</v>
      </c>
      <c r="J236" s="32">
        <f t="shared" si="64"/>
        <v>0</v>
      </c>
      <c r="K236" s="34">
        <f t="shared" si="64"/>
        <v>11</v>
      </c>
      <c r="L236" s="32">
        <f t="shared" si="64"/>
        <v>22962598.609999999</v>
      </c>
      <c r="M236" s="32">
        <f t="shared" si="64"/>
        <v>14183.22</v>
      </c>
      <c r="N236" s="32">
        <f t="shared" si="64"/>
        <v>63634940.670000009</v>
      </c>
      <c r="O236" s="32">
        <f t="shared" si="64"/>
        <v>0</v>
      </c>
      <c r="P236" s="32">
        <f t="shared" si="64"/>
        <v>0</v>
      </c>
      <c r="Q236" s="32">
        <f t="shared" si="64"/>
        <v>5077.3</v>
      </c>
      <c r="R236" s="32">
        <f t="shared" si="64"/>
        <v>22289000.849999998</v>
      </c>
      <c r="S236" s="32">
        <f t="shared" si="64"/>
        <v>128</v>
      </c>
      <c r="T236" s="32">
        <f t="shared" si="64"/>
        <v>1421419.39</v>
      </c>
      <c r="U236" s="32">
        <f t="shared" si="64"/>
        <v>5969062.7699999996</v>
      </c>
      <c r="V236" s="32">
        <f t="shared" si="64"/>
        <v>0</v>
      </c>
      <c r="W236" s="32">
        <f t="shared" si="64"/>
        <v>0</v>
      </c>
      <c r="X236" s="32">
        <f t="shared" si="64"/>
        <v>0</v>
      </c>
      <c r="Y236" s="32">
        <f t="shared" si="64"/>
        <v>0</v>
      </c>
      <c r="Z236" s="32">
        <f t="shared" si="64"/>
        <v>0</v>
      </c>
      <c r="AA236" s="32">
        <f t="shared" si="64"/>
        <v>0</v>
      </c>
      <c r="AB236" s="32">
        <f t="shared" si="64"/>
        <v>0</v>
      </c>
      <c r="AC236" s="32">
        <f t="shared" si="64"/>
        <v>1448913.4600000002</v>
      </c>
      <c r="AD236" s="32">
        <f t="shared" si="64"/>
        <v>2130206.63</v>
      </c>
      <c r="AE236" s="32">
        <f t="shared" si="64"/>
        <v>240000</v>
      </c>
      <c r="AF236" s="77" t="s">
        <v>801</v>
      </c>
      <c r="AG236" s="77" t="s">
        <v>801</v>
      </c>
      <c r="AH236" s="107" t="s">
        <v>801</v>
      </c>
      <c r="AT236" s="21" t="e">
        <f t="shared" ref="AT236:AT246" si="65">VLOOKUP(C236,AW:AX,2,FALSE)</f>
        <v>#N/A</v>
      </c>
    </row>
    <row r="237" spans="1:46" ht="61.5" x14ac:dyDescent="0.85">
      <c r="A237" s="21">
        <v>1</v>
      </c>
      <c r="B237" s="70">
        <f>SUBTOTAL(103,$A$22:A237)</f>
        <v>211</v>
      </c>
      <c r="C237" s="25" t="s">
        <v>658</v>
      </c>
      <c r="D237" s="32">
        <f t="shared" ref="D237:D265" si="66">E237+F237+G237+H237+I237+J237+L237+N237+P237+R237+T237+U237+V237+W237+X237+Y237+Z237+AA237+AB237+AC237+AD237+AE237</f>
        <v>4496606</v>
      </c>
      <c r="E237" s="37">
        <v>0</v>
      </c>
      <c r="F237" s="37">
        <v>0</v>
      </c>
      <c r="G237" s="37">
        <v>0</v>
      </c>
      <c r="H237" s="37">
        <v>0</v>
      </c>
      <c r="I237" s="37">
        <v>0</v>
      </c>
      <c r="J237" s="37">
        <v>0</v>
      </c>
      <c r="K237" s="34">
        <v>2</v>
      </c>
      <c r="L237" s="32">
        <v>4396606</v>
      </c>
      <c r="M237" s="32">
        <v>0</v>
      </c>
      <c r="N237" s="32">
        <v>0</v>
      </c>
      <c r="O237" s="37">
        <v>0</v>
      </c>
      <c r="P237" s="37">
        <v>0</v>
      </c>
      <c r="Q237" s="37">
        <v>0</v>
      </c>
      <c r="R237" s="37">
        <v>0</v>
      </c>
      <c r="S237" s="32">
        <v>0</v>
      </c>
      <c r="T237" s="32">
        <v>0</v>
      </c>
      <c r="U237" s="32">
        <v>0</v>
      </c>
      <c r="V237" s="32">
        <v>0</v>
      </c>
      <c r="W237" s="32">
        <v>0</v>
      </c>
      <c r="X237" s="32">
        <v>0</v>
      </c>
      <c r="Y237" s="32">
        <v>0</v>
      </c>
      <c r="Z237" s="32">
        <v>0</v>
      </c>
      <c r="AA237" s="32">
        <v>0</v>
      </c>
      <c r="AB237" s="32">
        <v>0</v>
      </c>
      <c r="AC237" s="32">
        <v>0</v>
      </c>
      <c r="AD237" s="32">
        <v>100000</v>
      </c>
      <c r="AE237" s="32">
        <v>0</v>
      </c>
      <c r="AF237" s="35">
        <v>2020</v>
      </c>
      <c r="AG237" s="35">
        <v>2020</v>
      </c>
      <c r="AH237" s="36" t="s">
        <v>275</v>
      </c>
      <c r="AT237" s="21" t="e">
        <f t="shared" si="65"/>
        <v>#N/A</v>
      </c>
    </row>
    <row r="238" spans="1:46" ht="61.5" x14ac:dyDescent="0.85">
      <c r="A238" s="21">
        <v>1</v>
      </c>
      <c r="B238" s="70">
        <f>SUBTOTAL(103,$A$22:A238)</f>
        <v>212</v>
      </c>
      <c r="C238" s="25" t="s">
        <v>663</v>
      </c>
      <c r="D238" s="32">
        <f t="shared" si="66"/>
        <v>6308598.71</v>
      </c>
      <c r="E238" s="37">
        <v>0</v>
      </c>
      <c r="F238" s="37">
        <v>0</v>
      </c>
      <c r="G238" s="37">
        <v>0</v>
      </c>
      <c r="H238" s="37">
        <v>0</v>
      </c>
      <c r="I238" s="37">
        <v>0</v>
      </c>
      <c r="J238" s="37">
        <v>0</v>
      </c>
      <c r="K238" s="34">
        <v>0</v>
      </c>
      <c r="L238" s="32">
        <v>0</v>
      </c>
      <c r="M238" s="32">
        <v>0</v>
      </c>
      <c r="N238" s="32">
        <v>0</v>
      </c>
      <c r="O238" s="37">
        <v>0</v>
      </c>
      <c r="P238" s="37">
        <v>0</v>
      </c>
      <c r="Q238" s="37">
        <v>0</v>
      </c>
      <c r="R238" s="37">
        <v>0</v>
      </c>
      <c r="S238" s="32">
        <v>0</v>
      </c>
      <c r="T238" s="32">
        <v>0</v>
      </c>
      <c r="U238" s="32">
        <v>5969062.7699999996</v>
      </c>
      <c r="V238" s="32">
        <v>0</v>
      </c>
      <c r="W238" s="32">
        <v>0</v>
      </c>
      <c r="X238" s="32">
        <v>0</v>
      </c>
      <c r="Y238" s="32">
        <v>0</v>
      </c>
      <c r="Z238" s="32">
        <v>0</v>
      </c>
      <c r="AA238" s="32">
        <v>0</v>
      </c>
      <c r="AB238" s="32">
        <v>0</v>
      </c>
      <c r="AC238" s="32">
        <f>ROUND(U238*1.5%,2)</f>
        <v>89535.94</v>
      </c>
      <c r="AD238" s="32">
        <v>250000</v>
      </c>
      <c r="AE238" s="32">
        <v>0</v>
      </c>
      <c r="AF238" s="35">
        <v>2020</v>
      </c>
      <c r="AG238" s="35">
        <v>2020</v>
      </c>
      <c r="AH238" s="36">
        <v>2020</v>
      </c>
      <c r="AT238" s="21" t="e">
        <f t="shared" si="65"/>
        <v>#N/A</v>
      </c>
    </row>
    <row r="239" spans="1:46" ht="61.5" x14ac:dyDescent="0.85">
      <c r="A239" s="21">
        <v>1</v>
      </c>
      <c r="B239" s="70">
        <f>SUBTOTAL(103,$A$22:A239)</f>
        <v>213</v>
      </c>
      <c r="C239" s="25" t="s">
        <v>664</v>
      </c>
      <c r="D239" s="32">
        <f t="shared" si="66"/>
        <v>13470892.08</v>
      </c>
      <c r="E239" s="37">
        <v>0</v>
      </c>
      <c r="F239" s="37">
        <v>0</v>
      </c>
      <c r="G239" s="37">
        <v>0</v>
      </c>
      <c r="H239" s="37">
        <v>0</v>
      </c>
      <c r="I239" s="37">
        <v>0</v>
      </c>
      <c r="J239" s="37">
        <v>0</v>
      </c>
      <c r="K239" s="34">
        <v>0</v>
      </c>
      <c r="L239" s="32">
        <v>0</v>
      </c>
      <c r="M239" s="32">
        <v>0</v>
      </c>
      <c r="N239" s="32">
        <v>0</v>
      </c>
      <c r="O239" s="37">
        <v>0</v>
      </c>
      <c r="P239" s="37">
        <v>0</v>
      </c>
      <c r="Q239" s="32">
        <v>1978</v>
      </c>
      <c r="R239" s="32">
        <v>13074770.52</v>
      </c>
      <c r="S239" s="32">
        <v>0</v>
      </c>
      <c r="T239" s="32">
        <v>0</v>
      </c>
      <c r="U239" s="32">
        <v>0</v>
      </c>
      <c r="V239" s="32">
        <v>0</v>
      </c>
      <c r="W239" s="32">
        <v>0</v>
      </c>
      <c r="X239" s="32">
        <v>0</v>
      </c>
      <c r="Y239" s="32">
        <v>0</v>
      </c>
      <c r="Z239" s="32">
        <v>0</v>
      </c>
      <c r="AA239" s="32">
        <v>0</v>
      </c>
      <c r="AB239" s="32">
        <v>0</v>
      </c>
      <c r="AC239" s="32">
        <f>ROUND(R239*1.5%,2)</f>
        <v>196121.56</v>
      </c>
      <c r="AD239" s="32">
        <v>200000</v>
      </c>
      <c r="AE239" s="32">
        <v>0</v>
      </c>
      <c r="AF239" s="35">
        <v>2020</v>
      </c>
      <c r="AG239" s="35">
        <v>2020</v>
      </c>
      <c r="AH239" s="36">
        <v>2020</v>
      </c>
      <c r="AT239" s="21" t="e">
        <f t="shared" si="65"/>
        <v>#N/A</v>
      </c>
    </row>
    <row r="240" spans="1:46" ht="61.5" x14ac:dyDescent="0.85">
      <c r="A240" s="21">
        <v>1</v>
      </c>
      <c r="B240" s="70">
        <f>SUBTOTAL(103,$A$22:A240)</f>
        <v>214</v>
      </c>
      <c r="C240" s="25" t="s">
        <v>667</v>
      </c>
      <c r="D240" s="32">
        <f t="shared" si="66"/>
        <v>4496606</v>
      </c>
      <c r="E240" s="37">
        <v>0</v>
      </c>
      <c r="F240" s="37">
        <v>0</v>
      </c>
      <c r="G240" s="37">
        <v>0</v>
      </c>
      <c r="H240" s="37">
        <v>0</v>
      </c>
      <c r="I240" s="37">
        <v>0</v>
      </c>
      <c r="J240" s="37">
        <v>0</v>
      </c>
      <c r="K240" s="34">
        <v>2</v>
      </c>
      <c r="L240" s="32">
        <v>4396606</v>
      </c>
      <c r="M240" s="32">
        <v>0</v>
      </c>
      <c r="N240" s="32">
        <v>0</v>
      </c>
      <c r="O240" s="37">
        <v>0</v>
      </c>
      <c r="P240" s="37">
        <v>0</v>
      </c>
      <c r="Q240" s="32">
        <v>0</v>
      </c>
      <c r="R240" s="32">
        <v>0</v>
      </c>
      <c r="S240" s="32">
        <v>0</v>
      </c>
      <c r="T240" s="32">
        <v>0</v>
      </c>
      <c r="U240" s="32">
        <v>0</v>
      </c>
      <c r="V240" s="32">
        <v>0</v>
      </c>
      <c r="W240" s="32">
        <v>0</v>
      </c>
      <c r="X240" s="32">
        <v>0</v>
      </c>
      <c r="Y240" s="32">
        <v>0</v>
      </c>
      <c r="Z240" s="32">
        <v>0</v>
      </c>
      <c r="AA240" s="32">
        <v>0</v>
      </c>
      <c r="AB240" s="32">
        <v>0</v>
      </c>
      <c r="AC240" s="32">
        <v>0</v>
      </c>
      <c r="AD240" s="32">
        <v>100000</v>
      </c>
      <c r="AE240" s="32">
        <v>0</v>
      </c>
      <c r="AF240" s="35">
        <v>2020</v>
      </c>
      <c r="AG240" s="35">
        <v>2020</v>
      </c>
      <c r="AH240" s="36" t="s">
        <v>275</v>
      </c>
      <c r="AT240" s="21">
        <f t="shared" si="65"/>
        <v>1</v>
      </c>
    </row>
    <row r="241" spans="1:46" ht="61.5" x14ac:dyDescent="0.85">
      <c r="A241" s="21">
        <v>1</v>
      </c>
      <c r="B241" s="70">
        <f>SUBTOTAL(103,$A$22:A241)</f>
        <v>215</v>
      </c>
      <c r="C241" s="25" t="s">
        <v>669</v>
      </c>
      <c r="D241" s="32">
        <f t="shared" si="66"/>
        <v>2666187.4300000002</v>
      </c>
      <c r="E241" s="37">
        <v>0</v>
      </c>
      <c r="F241" s="37">
        <v>0</v>
      </c>
      <c r="G241" s="37">
        <v>0</v>
      </c>
      <c r="H241" s="37">
        <v>0</v>
      </c>
      <c r="I241" s="37">
        <v>0</v>
      </c>
      <c r="J241" s="37">
        <v>0</v>
      </c>
      <c r="K241" s="34">
        <v>0</v>
      </c>
      <c r="L241" s="32">
        <v>0</v>
      </c>
      <c r="M241" s="32">
        <v>498</v>
      </c>
      <c r="N241" s="32">
        <f>2443406.9+65152.14</f>
        <v>2508559.04</v>
      </c>
      <c r="O241" s="37">
        <v>0</v>
      </c>
      <c r="P241" s="37">
        <v>0</v>
      </c>
      <c r="Q241" s="32">
        <v>0</v>
      </c>
      <c r="R241" s="32">
        <v>0</v>
      </c>
      <c r="S241" s="32">
        <v>0</v>
      </c>
      <c r="T241" s="32">
        <v>0</v>
      </c>
      <c r="U241" s="32">
        <v>0</v>
      </c>
      <c r="V241" s="32">
        <v>0</v>
      </c>
      <c r="W241" s="32">
        <v>0</v>
      </c>
      <c r="X241" s="32">
        <v>0</v>
      </c>
      <c r="Y241" s="32">
        <v>0</v>
      </c>
      <c r="Z241" s="32">
        <v>0</v>
      </c>
      <c r="AA241" s="32">
        <v>0</v>
      </c>
      <c r="AB241" s="32">
        <v>0</v>
      </c>
      <c r="AC241" s="32">
        <f t="shared" ref="AC241:AC243" si="67">ROUND(N241*1.5%,2)</f>
        <v>37628.39</v>
      </c>
      <c r="AD241" s="32">
        <v>120000</v>
      </c>
      <c r="AE241" s="32">
        <v>0</v>
      </c>
      <c r="AF241" s="35">
        <v>2020</v>
      </c>
      <c r="AG241" s="35">
        <v>2020</v>
      </c>
      <c r="AH241" s="36">
        <v>2020</v>
      </c>
      <c r="AT241" s="21" t="e">
        <f t="shared" si="65"/>
        <v>#N/A</v>
      </c>
    </row>
    <row r="242" spans="1:46" ht="61.5" x14ac:dyDescent="0.85">
      <c r="A242" s="21">
        <v>1</v>
      </c>
      <c r="B242" s="70">
        <f>SUBTOTAL(103,$A$22:A242)</f>
        <v>216</v>
      </c>
      <c r="C242" s="25" t="s">
        <v>672</v>
      </c>
      <c r="D242" s="32">
        <f t="shared" si="66"/>
        <v>3587039.29</v>
      </c>
      <c r="E242" s="37">
        <v>0</v>
      </c>
      <c r="F242" s="37">
        <v>0</v>
      </c>
      <c r="G242" s="37">
        <v>0</v>
      </c>
      <c r="H242" s="37">
        <v>0</v>
      </c>
      <c r="I242" s="37">
        <v>0</v>
      </c>
      <c r="J242" s="37">
        <v>0</v>
      </c>
      <c r="K242" s="34">
        <v>0</v>
      </c>
      <c r="L242" s="32">
        <v>0</v>
      </c>
      <c r="M242" s="32">
        <v>670</v>
      </c>
      <c r="N242" s="32">
        <f>3298591.13+87654.48</f>
        <v>3386245.61</v>
      </c>
      <c r="O242" s="37">
        <v>0</v>
      </c>
      <c r="P242" s="37">
        <v>0</v>
      </c>
      <c r="Q242" s="32">
        <v>0</v>
      </c>
      <c r="R242" s="32">
        <v>0</v>
      </c>
      <c r="S242" s="32">
        <v>0</v>
      </c>
      <c r="T242" s="32">
        <v>0</v>
      </c>
      <c r="U242" s="32">
        <v>0</v>
      </c>
      <c r="V242" s="32">
        <v>0</v>
      </c>
      <c r="W242" s="32">
        <v>0</v>
      </c>
      <c r="X242" s="32">
        <v>0</v>
      </c>
      <c r="Y242" s="32">
        <v>0</v>
      </c>
      <c r="Z242" s="32">
        <v>0</v>
      </c>
      <c r="AA242" s="32">
        <v>0</v>
      </c>
      <c r="AB242" s="32">
        <v>0</v>
      </c>
      <c r="AC242" s="32">
        <f t="shared" si="67"/>
        <v>50793.68</v>
      </c>
      <c r="AD242" s="32">
        <v>150000</v>
      </c>
      <c r="AE242" s="32">
        <v>0</v>
      </c>
      <c r="AF242" s="35">
        <v>2020</v>
      </c>
      <c r="AG242" s="35">
        <v>2020</v>
      </c>
      <c r="AH242" s="36">
        <v>2020</v>
      </c>
      <c r="AT242" s="21" t="e">
        <f t="shared" si="65"/>
        <v>#N/A</v>
      </c>
    </row>
    <row r="243" spans="1:46" ht="61.5" x14ac:dyDescent="0.85">
      <c r="A243" s="21">
        <v>1</v>
      </c>
      <c r="B243" s="70">
        <f>SUBTOTAL(103,$A$22:A243)</f>
        <v>217</v>
      </c>
      <c r="C243" s="25" t="s">
        <v>673</v>
      </c>
      <c r="D243" s="32">
        <f t="shared" si="66"/>
        <v>2302129.7000000002</v>
      </c>
      <c r="E243" s="37">
        <v>0</v>
      </c>
      <c r="F243" s="37">
        <v>0</v>
      </c>
      <c r="G243" s="37">
        <v>0</v>
      </c>
      <c r="H243" s="37">
        <v>0</v>
      </c>
      <c r="I243" s="37">
        <v>0</v>
      </c>
      <c r="J243" s="37">
        <v>0</v>
      </c>
      <c r="K243" s="34">
        <v>0</v>
      </c>
      <c r="L243" s="32">
        <v>0</v>
      </c>
      <c r="M243" s="32">
        <v>430</v>
      </c>
      <c r="N243" s="32">
        <f>2093625.62+56255.86</f>
        <v>2149881.48</v>
      </c>
      <c r="O243" s="37">
        <v>0</v>
      </c>
      <c r="P243" s="37">
        <v>0</v>
      </c>
      <c r="Q243" s="32">
        <v>0</v>
      </c>
      <c r="R243" s="32">
        <v>0</v>
      </c>
      <c r="S243" s="32">
        <v>0</v>
      </c>
      <c r="T243" s="32">
        <v>0</v>
      </c>
      <c r="U243" s="32">
        <v>0</v>
      </c>
      <c r="V243" s="32">
        <v>0</v>
      </c>
      <c r="W243" s="32">
        <v>0</v>
      </c>
      <c r="X243" s="32">
        <v>0</v>
      </c>
      <c r="Y243" s="32">
        <v>0</v>
      </c>
      <c r="Z243" s="32">
        <v>0</v>
      </c>
      <c r="AA243" s="32">
        <v>0</v>
      </c>
      <c r="AB243" s="32">
        <v>0</v>
      </c>
      <c r="AC243" s="32">
        <f t="shared" si="67"/>
        <v>32248.22</v>
      </c>
      <c r="AD243" s="32">
        <v>120000</v>
      </c>
      <c r="AE243" s="32">
        <v>0</v>
      </c>
      <c r="AF243" s="35">
        <v>2020</v>
      </c>
      <c r="AG243" s="35">
        <v>2020</v>
      </c>
      <c r="AH243" s="36">
        <v>2020</v>
      </c>
      <c r="AT243" s="21" t="e">
        <f t="shared" si="65"/>
        <v>#N/A</v>
      </c>
    </row>
    <row r="244" spans="1:46" ht="61.5" x14ac:dyDescent="0.85">
      <c r="A244" s="21">
        <v>1</v>
      </c>
      <c r="B244" s="70">
        <f>SUBTOTAL(103,$A$22:A244)</f>
        <v>218</v>
      </c>
      <c r="C244" s="25" t="s">
        <v>674</v>
      </c>
      <c r="D244" s="32">
        <f t="shared" si="66"/>
        <v>2248303</v>
      </c>
      <c r="E244" s="37">
        <v>0</v>
      </c>
      <c r="F244" s="37">
        <v>0</v>
      </c>
      <c r="G244" s="37">
        <v>0</v>
      </c>
      <c r="H244" s="37">
        <v>0</v>
      </c>
      <c r="I244" s="37">
        <v>0</v>
      </c>
      <c r="J244" s="37">
        <v>0</v>
      </c>
      <c r="K244" s="34">
        <v>1</v>
      </c>
      <c r="L244" s="32">
        <v>2181542.1</v>
      </c>
      <c r="M244" s="32">
        <v>0</v>
      </c>
      <c r="N244" s="32">
        <v>0</v>
      </c>
      <c r="O244" s="37">
        <v>0</v>
      </c>
      <c r="P244" s="37">
        <v>0</v>
      </c>
      <c r="Q244" s="32">
        <v>0</v>
      </c>
      <c r="R244" s="32">
        <v>0</v>
      </c>
      <c r="S244" s="32">
        <v>0</v>
      </c>
      <c r="T244" s="32">
        <v>0</v>
      </c>
      <c r="U244" s="32">
        <v>0</v>
      </c>
      <c r="V244" s="32">
        <v>0</v>
      </c>
      <c r="W244" s="32">
        <v>0</v>
      </c>
      <c r="X244" s="32">
        <v>0</v>
      </c>
      <c r="Y244" s="32">
        <v>0</v>
      </c>
      <c r="Z244" s="32">
        <v>0</v>
      </c>
      <c r="AA244" s="32">
        <v>0</v>
      </c>
      <c r="AB244" s="32">
        <v>0</v>
      </c>
      <c r="AC244" s="32">
        <v>0</v>
      </c>
      <c r="AD244" s="32">
        <v>66760.899999999994</v>
      </c>
      <c r="AE244" s="32">
        <v>0</v>
      </c>
      <c r="AF244" s="35">
        <v>2020</v>
      </c>
      <c r="AG244" s="35">
        <v>2020</v>
      </c>
      <c r="AH244" s="36" t="s">
        <v>275</v>
      </c>
      <c r="AT244" s="21" t="e">
        <f t="shared" si="65"/>
        <v>#N/A</v>
      </c>
    </row>
    <row r="245" spans="1:46" ht="61.5" x14ac:dyDescent="0.85">
      <c r="A245" s="21">
        <v>1</v>
      </c>
      <c r="B245" s="70">
        <f>SUBTOTAL(103,$A$22:A245)</f>
        <v>219</v>
      </c>
      <c r="C245" s="25" t="s">
        <v>676</v>
      </c>
      <c r="D245" s="32">
        <f t="shared" si="66"/>
        <v>1284909.6000000001</v>
      </c>
      <c r="E245" s="37">
        <v>0</v>
      </c>
      <c r="F245" s="37">
        <v>0</v>
      </c>
      <c r="G245" s="37">
        <v>0</v>
      </c>
      <c r="H245" s="37">
        <v>0</v>
      </c>
      <c r="I245" s="37">
        <v>0</v>
      </c>
      <c r="J245" s="37">
        <v>0</v>
      </c>
      <c r="K245" s="34">
        <v>0</v>
      </c>
      <c r="L245" s="32">
        <v>0</v>
      </c>
      <c r="M245" s="32">
        <v>240</v>
      </c>
      <c r="N245" s="32">
        <f>1116295.57-118226.6+31398.62</f>
        <v>1029467.5900000001</v>
      </c>
      <c r="O245" s="37">
        <v>0</v>
      </c>
      <c r="P245" s="37">
        <v>0</v>
      </c>
      <c r="Q245" s="32">
        <v>0</v>
      </c>
      <c r="R245" s="32">
        <v>0</v>
      </c>
      <c r="S245" s="32">
        <v>0</v>
      </c>
      <c r="T245" s="32">
        <v>0</v>
      </c>
      <c r="U245" s="32">
        <v>0</v>
      </c>
      <c r="V245" s="32">
        <v>0</v>
      </c>
      <c r="W245" s="32">
        <v>0</v>
      </c>
      <c r="X245" s="32">
        <v>0</v>
      </c>
      <c r="Y245" s="32">
        <v>0</v>
      </c>
      <c r="Z245" s="32">
        <v>0</v>
      </c>
      <c r="AA245" s="32">
        <v>0</v>
      </c>
      <c r="AB245" s="32">
        <v>0</v>
      </c>
      <c r="AC245" s="32">
        <f t="shared" ref="AC245:AC248" si="68">ROUND(N245*1.5%,2)</f>
        <v>15442.01</v>
      </c>
      <c r="AD245" s="32">
        <v>120000</v>
      </c>
      <c r="AE245" s="32">
        <v>120000</v>
      </c>
      <c r="AF245" s="35">
        <v>2020</v>
      </c>
      <c r="AG245" s="35">
        <v>2020</v>
      </c>
      <c r="AH245" s="36">
        <v>2020</v>
      </c>
      <c r="AT245" s="21" t="e">
        <f t="shared" si="65"/>
        <v>#N/A</v>
      </c>
    </row>
    <row r="246" spans="1:46" ht="61.5" x14ac:dyDescent="0.85">
      <c r="A246" s="21">
        <v>1</v>
      </c>
      <c r="B246" s="70">
        <f>SUBTOTAL(103,$A$22:A246)</f>
        <v>220</v>
      </c>
      <c r="C246" s="25" t="s">
        <v>680</v>
      </c>
      <c r="D246" s="32">
        <f t="shared" si="66"/>
        <v>2894691.35</v>
      </c>
      <c r="E246" s="37">
        <v>0</v>
      </c>
      <c r="F246" s="37">
        <v>0</v>
      </c>
      <c r="G246" s="37">
        <v>0</v>
      </c>
      <c r="H246" s="37">
        <v>0</v>
      </c>
      <c r="I246" s="37">
        <v>0</v>
      </c>
      <c r="J246" s="37">
        <v>0</v>
      </c>
      <c r="K246" s="34">
        <v>0</v>
      </c>
      <c r="L246" s="32">
        <v>0</v>
      </c>
      <c r="M246" s="32">
        <v>540.6</v>
      </c>
      <c r="N246" s="32">
        <f>2633404.02+70725.39</f>
        <v>2704129.41</v>
      </c>
      <c r="O246" s="37">
        <v>0</v>
      </c>
      <c r="P246" s="37">
        <v>0</v>
      </c>
      <c r="Q246" s="32">
        <v>0</v>
      </c>
      <c r="R246" s="32">
        <v>0</v>
      </c>
      <c r="S246" s="32">
        <v>0</v>
      </c>
      <c r="T246" s="32">
        <v>0</v>
      </c>
      <c r="U246" s="32">
        <v>0</v>
      </c>
      <c r="V246" s="32">
        <v>0</v>
      </c>
      <c r="W246" s="32">
        <v>0</v>
      </c>
      <c r="X246" s="32">
        <v>0</v>
      </c>
      <c r="Y246" s="32">
        <v>0</v>
      </c>
      <c r="Z246" s="32">
        <v>0</v>
      </c>
      <c r="AA246" s="32">
        <v>0</v>
      </c>
      <c r="AB246" s="32">
        <v>0</v>
      </c>
      <c r="AC246" s="32">
        <f t="shared" si="68"/>
        <v>40561.94</v>
      </c>
      <c r="AD246" s="32">
        <v>150000</v>
      </c>
      <c r="AE246" s="32">
        <v>0</v>
      </c>
      <c r="AF246" s="35">
        <v>2020</v>
      </c>
      <c r="AG246" s="35">
        <v>2020</v>
      </c>
      <c r="AH246" s="36">
        <v>2020</v>
      </c>
      <c r="AT246" s="21" t="e">
        <f t="shared" si="65"/>
        <v>#N/A</v>
      </c>
    </row>
    <row r="247" spans="1:46" ht="61.5" x14ac:dyDescent="0.85">
      <c r="A247" s="21">
        <v>1</v>
      </c>
      <c r="B247" s="70">
        <f>SUBTOTAL(103,$A$22:A247)</f>
        <v>221</v>
      </c>
      <c r="C247" s="25" t="s">
        <v>1172</v>
      </c>
      <c r="D247" s="32">
        <f t="shared" si="66"/>
        <v>4819128.8400000008</v>
      </c>
      <c r="E247" s="32">
        <v>0</v>
      </c>
      <c r="F247" s="32">
        <v>0</v>
      </c>
      <c r="G247" s="32">
        <v>0</v>
      </c>
      <c r="H247" s="32">
        <v>0</v>
      </c>
      <c r="I247" s="32">
        <v>0</v>
      </c>
      <c r="J247" s="32">
        <v>0</v>
      </c>
      <c r="K247" s="34">
        <v>0</v>
      </c>
      <c r="L247" s="32">
        <v>0</v>
      </c>
      <c r="M247" s="32">
        <v>900</v>
      </c>
      <c r="N247" s="32">
        <f>4482384.24+117744.83-2.13</f>
        <v>4600126.9400000004</v>
      </c>
      <c r="O247" s="32">
        <v>0</v>
      </c>
      <c r="P247" s="32">
        <v>0</v>
      </c>
      <c r="Q247" s="32">
        <v>0</v>
      </c>
      <c r="R247" s="32">
        <v>0</v>
      </c>
      <c r="S247" s="32">
        <v>0</v>
      </c>
      <c r="T247" s="32">
        <v>0</v>
      </c>
      <c r="U247" s="32">
        <v>0</v>
      </c>
      <c r="V247" s="32">
        <v>0</v>
      </c>
      <c r="W247" s="32">
        <v>0</v>
      </c>
      <c r="X247" s="32">
        <v>0</v>
      </c>
      <c r="Y247" s="32">
        <v>0</v>
      </c>
      <c r="Z247" s="32">
        <v>0</v>
      </c>
      <c r="AA247" s="32">
        <v>0</v>
      </c>
      <c r="AB247" s="32">
        <v>0</v>
      </c>
      <c r="AC247" s="32">
        <f t="shared" si="68"/>
        <v>69001.899999999994</v>
      </c>
      <c r="AD247" s="32">
        <v>150000</v>
      </c>
      <c r="AE247" s="32">
        <v>0</v>
      </c>
      <c r="AF247" s="35">
        <v>2020</v>
      </c>
      <c r="AG247" s="35">
        <v>2020</v>
      </c>
      <c r="AH247" s="36">
        <v>2020</v>
      </c>
    </row>
    <row r="248" spans="1:46" ht="61.5" x14ac:dyDescent="0.85">
      <c r="A248" s="21">
        <v>1</v>
      </c>
      <c r="B248" s="70">
        <f>SUBTOTAL(103,$A$22:A248)</f>
        <v>222</v>
      </c>
      <c r="C248" s="25" t="s">
        <v>1263</v>
      </c>
      <c r="D248" s="32">
        <f t="shared" si="66"/>
        <v>1088632.3299999998</v>
      </c>
      <c r="E248" s="37">
        <v>0</v>
      </c>
      <c r="F248" s="37">
        <v>0</v>
      </c>
      <c r="G248" s="37">
        <v>0</v>
      </c>
      <c r="H248" s="37">
        <v>0</v>
      </c>
      <c r="I248" s="37">
        <v>0</v>
      </c>
      <c r="J248" s="37">
        <v>0</v>
      </c>
      <c r="K248" s="34">
        <v>0</v>
      </c>
      <c r="L248" s="32">
        <v>0</v>
      </c>
      <c r="M248" s="32">
        <v>540.5</v>
      </c>
      <c r="N248" s="32">
        <v>1072544.17</v>
      </c>
      <c r="O248" s="37">
        <v>0</v>
      </c>
      <c r="P248" s="37">
        <v>0</v>
      </c>
      <c r="Q248" s="32">
        <v>0</v>
      </c>
      <c r="R248" s="32">
        <v>0</v>
      </c>
      <c r="S248" s="32">
        <v>0</v>
      </c>
      <c r="T248" s="32">
        <v>0</v>
      </c>
      <c r="U248" s="32">
        <v>0</v>
      </c>
      <c r="V248" s="32">
        <v>0</v>
      </c>
      <c r="W248" s="32">
        <v>0</v>
      </c>
      <c r="X248" s="32">
        <v>0</v>
      </c>
      <c r="Y248" s="32">
        <v>0</v>
      </c>
      <c r="Z248" s="32">
        <v>0</v>
      </c>
      <c r="AA248" s="32">
        <v>0</v>
      </c>
      <c r="AB248" s="32">
        <v>0</v>
      </c>
      <c r="AC248" s="32">
        <f t="shared" si="68"/>
        <v>16088.16</v>
      </c>
      <c r="AD248" s="32">
        <v>0</v>
      </c>
      <c r="AE248" s="32">
        <v>0</v>
      </c>
      <c r="AF248" s="35" t="s">
        <v>275</v>
      </c>
      <c r="AG248" s="35">
        <v>2020</v>
      </c>
      <c r="AH248" s="36">
        <v>2020</v>
      </c>
    </row>
    <row r="249" spans="1:46" ht="61.5" x14ac:dyDescent="0.85">
      <c r="A249" s="21">
        <v>1</v>
      </c>
      <c r="B249" s="70">
        <f>SUBTOTAL(103,$A$22:A249)</f>
        <v>223</v>
      </c>
      <c r="C249" s="25" t="s">
        <v>1264</v>
      </c>
      <c r="D249" s="32">
        <f t="shared" si="66"/>
        <v>3019209.8200000003</v>
      </c>
      <c r="E249" s="37">
        <v>0</v>
      </c>
      <c r="F249" s="37">
        <v>0</v>
      </c>
      <c r="G249" s="37">
        <v>0</v>
      </c>
      <c r="H249" s="37">
        <v>0</v>
      </c>
      <c r="I249" s="37">
        <v>0</v>
      </c>
      <c r="J249" s="37">
        <v>0</v>
      </c>
      <c r="K249" s="34">
        <v>0</v>
      </c>
      <c r="L249" s="32">
        <v>0</v>
      </c>
      <c r="M249" s="32">
        <v>0</v>
      </c>
      <c r="N249" s="32">
        <v>0</v>
      </c>
      <c r="O249" s="37">
        <v>0</v>
      </c>
      <c r="P249" s="37">
        <v>0</v>
      </c>
      <c r="Q249" s="32">
        <v>420</v>
      </c>
      <c r="R249" s="32">
        <v>2826807.7</v>
      </c>
      <c r="S249" s="32">
        <v>0</v>
      </c>
      <c r="T249" s="32">
        <v>0</v>
      </c>
      <c r="U249" s="32">
        <v>0</v>
      </c>
      <c r="V249" s="32">
        <v>0</v>
      </c>
      <c r="W249" s="32">
        <v>0</v>
      </c>
      <c r="X249" s="32">
        <v>0</v>
      </c>
      <c r="Y249" s="32">
        <v>0</v>
      </c>
      <c r="Z249" s="32">
        <v>0</v>
      </c>
      <c r="AA249" s="32">
        <v>0</v>
      </c>
      <c r="AB249" s="32">
        <v>0</v>
      </c>
      <c r="AC249" s="32">
        <f>ROUND(R249*1.5%,2)</f>
        <v>42402.12</v>
      </c>
      <c r="AD249" s="32">
        <v>150000</v>
      </c>
      <c r="AE249" s="32">
        <v>0</v>
      </c>
      <c r="AF249" s="35">
        <v>2020</v>
      </c>
      <c r="AG249" s="35">
        <v>2020</v>
      </c>
      <c r="AH249" s="36">
        <v>2020</v>
      </c>
    </row>
    <row r="250" spans="1:46" ht="61.5" x14ac:dyDescent="0.85">
      <c r="A250" s="21">
        <v>1</v>
      </c>
      <c r="B250" s="70">
        <f>SUBTOTAL(103,$A$22:A250)</f>
        <v>224</v>
      </c>
      <c r="C250" s="25" t="s">
        <v>1265</v>
      </c>
      <c r="D250" s="32">
        <f t="shared" si="66"/>
        <v>2908017.85</v>
      </c>
      <c r="E250" s="37">
        <v>0</v>
      </c>
      <c r="F250" s="37">
        <v>0</v>
      </c>
      <c r="G250" s="37">
        <v>0</v>
      </c>
      <c r="H250" s="37">
        <v>0</v>
      </c>
      <c r="I250" s="37">
        <v>0</v>
      </c>
      <c r="J250" s="37">
        <v>0</v>
      </c>
      <c r="K250" s="34">
        <v>0</v>
      </c>
      <c r="L250" s="32">
        <v>0</v>
      </c>
      <c r="M250" s="32">
        <v>563.86</v>
      </c>
      <c r="N250" s="32">
        <v>2772977.46</v>
      </c>
      <c r="O250" s="37">
        <v>0</v>
      </c>
      <c r="P250" s="37">
        <v>0</v>
      </c>
      <c r="Q250" s="32">
        <v>0</v>
      </c>
      <c r="R250" s="32">
        <v>0</v>
      </c>
      <c r="S250" s="32">
        <v>0</v>
      </c>
      <c r="T250" s="32">
        <v>0</v>
      </c>
      <c r="U250" s="32">
        <v>0</v>
      </c>
      <c r="V250" s="32">
        <v>0</v>
      </c>
      <c r="W250" s="32">
        <v>0</v>
      </c>
      <c r="X250" s="32">
        <v>0</v>
      </c>
      <c r="Y250" s="32">
        <v>0</v>
      </c>
      <c r="Z250" s="32">
        <v>0</v>
      </c>
      <c r="AA250" s="32">
        <v>0</v>
      </c>
      <c r="AB250" s="32">
        <v>0</v>
      </c>
      <c r="AC250" s="32">
        <f t="shared" ref="AC250:AC251" si="69">ROUND(N250*1.5%,2)</f>
        <v>41594.660000000003</v>
      </c>
      <c r="AD250" s="32">
        <v>93445.73</v>
      </c>
      <c r="AE250" s="32">
        <v>0</v>
      </c>
      <c r="AF250" s="35">
        <v>2020</v>
      </c>
      <c r="AG250" s="35">
        <v>2020</v>
      </c>
      <c r="AH250" s="36">
        <v>2020</v>
      </c>
    </row>
    <row r="251" spans="1:46" ht="61.5" x14ac:dyDescent="0.85">
      <c r="A251" s="21">
        <v>1</v>
      </c>
      <c r="B251" s="70">
        <f>SUBTOTAL(103,$A$22:A251)</f>
        <v>225</v>
      </c>
      <c r="C251" s="25" t="s">
        <v>1266</v>
      </c>
      <c r="D251" s="32">
        <f t="shared" si="66"/>
        <v>9352682.2400000002</v>
      </c>
      <c r="E251" s="37">
        <v>0</v>
      </c>
      <c r="F251" s="37">
        <v>0</v>
      </c>
      <c r="G251" s="37">
        <v>0</v>
      </c>
      <c r="H251" s="37">
        <v>0</v>
      </c>
      <c r="I251" s="37">
        <v>0</v>
      </c>
      <c r="J251" s="37">
        <v>0</v>
      </c>
      <c r="K251" s="34">
        <v>0</v>
      </c>
      <c r="L251" s="32">
        <v>0</v>
      </c>
      <c r="M251" s="32">
        <v>1650</v>
      </c>
      <c r="N251" s="32">
        <v>9214465.2599999998</v>
      </c>
      <c r="O251" s="37">
        <v>0</v>
      </c>
      <c r="P251" s="37">
        <v>0</v>
      </c>
      <c r="Q251" s="32">
        <v>0</v>
      </c>
      <c r="R251" s="32">
        <v>0</v>
      </c>
      <c r="S251" s="32">
        <v>0</v>
      </c>
      <c r="T251" s="32">
        <v>0</v>
      </c>
      <c r="U251" s="32">
        <v>0</v>
      </c>
      <c r="V251" s="32">
        <v>0</v>
      </c>
      <c r="W251" s="32">
        <v>0</v>
      </c>
      <c r="X251" s="32">
        <v>0</v>
      </c>
      <c r="Y251" s="32">
        <v>0</v>
      </c>
      <c r="Z251" s="32">
        <v>0</v>
      </c>
      <c r="AA251" s="32">
        <v>0</v>
      </c>
      <c r="AB251" s="32">
        <v>0</v>
      </c>
      <c r="AC251" s="32">
        <f t="shared" si="69"/>
        <v>138216.98000000001</v>
      </c>
      <c r="AD251" s="32">
        <v>0</v>
      </c>
      <c r="AE251" s="32">
        <v>0</v>
      </c>
      <c r="AF251" s="35" t="s">
        <v>275</v>
      </c>
      <c r="AG251" s="35">
        <v>2020</v>
      </c>
      <c r="AH251" s="36">
        <v>2020</v>
      </c>
    </row>
    <row r="252" spans="1:46" ht="61.5" x14ac:dyDescent="0.85">
      <c r="A252" s="21">
        <v>1</v>
      </c>
      <c r="B252" s="70">
        <f>SUBTOTAL(103,$A$22:A252)</f>
        <v>226</v>
      </c>
      <c r="C252" s="25" t="s">
        <v>1267</v>
      </c>
      <c r="D252" s="32">
        <f t="shared" si="66"/>
        <v>1815587.49</v>
      </c>
      <c r="E252" s="37">
        <v>0</v>
      </c>
      <c r="F252" s="37">
        <v>0</v>
      </c>
      <c r="G252" s="37">
        <v>0</v>
      </c>
      <c r="H252" s="37">
        <v>0</v>
      </c>
      <c r="I252" s="37">
        <v>0</v>
      </c>
      <c r="J252" s="37">
        <v>0</v>
      </c>
      <c r="K252" s="34">
        <v>0</v>
      </c>
      <c r="L252" s="32">
        <v>0</v>
      </c>
      <c r="M252" s="32">
        <v>0</v>
      </c>
      <c r="N252" s="32">
        <v>0</v>
      </c>
      <c r="O252" s="37">
        <v>0</v>
      </c>
      <c r="P252" s="37">
        <v>0</v>
      </c>
      <c r="Q252" s="32">
        <v>795.9</v>
      </c>
      <c r="R252" s="32">
        <v>1788756.15</v>
      </c>
      <c r="S252" s="32">
        <v>0</v>
      </c>
      <c r="T252" s="32">
        <v>0</v>
      </c>
      <c r="U252" s="32">
        <v>0</v>
      </c>
      <c r="V252" s="32">
        <v>0</v>
      </c>
      <c r="W252" s="32">
        <v>0</v>
      </c>
      <c r="X252" s="32">
        <v>0</v>
      </c>
      <c r="Y252" s="32">
        <v>0</v>
      </c>
      <c r="Z252" s="32">
        <v>0</v>
      </c>
      <c r="AA252" s="32">
        <v>0</v>
      </c>
      <c r="AB252" s="32">
        <v>0</v>
      </c>
      <c r="AC252" s="32">
        <f>ROUND(R252*1.5%,2)</f>
        <v>26831.34</v>
      </c>
      <c r="AD252" s="32">
        <v>0</v>
      </c>
      <c r="AE252" s="32">
        <v>0</v>
      </c>
      <c r="AF252" s="35" t="s">
        <v>275</v>
      </c>
      <c r="AG252" s="35">
        <v>2020</v>
      </c>
      <c r="AH252" s="36">
        <v>2020</v>
      </c>
    </row>
    <row r="253" spans="1:46" ht="61.5" x14ac:dyDescent="0.85">
      <c r="A253" s="21">
        <v>1</v>
      </c>
      <c r="B253" s="70">
        <f>SUBTOTAL(103,$A$22:A253)</f>
        <v>227</v>
      </c>
      <c r="C253" s="25" t="s">
        <v>1268</v>
      </c>
      <c r="D253" s="32">
        <f t="shared" si="66"/>
        <v>4245928.87</v>
      </c>
      <c r="E253" s="37">
        <v>0</v>
      </c>
      <c r="F253" s="37">
        <v>0</v>
      </c>
      <c r="G253" s="37">
        <v>0</v>
      </c>
      <c r="H253" s="37">
        <v>0</v>
      </c>
      <c r="I253" s="37">
        <v>0</v>
      </c>
      <c r="J253" s="37">
        <v>0</v>
      </c>
      <c r="K253" s="34">
        <v>0</v>
      </c>
      <c r="L253" s="32">
        <v>0</v>
      </c>
      <c r="M253" s="32">
        <v>1906.5</v>
      </c>
      <c r="N253" s="32">
        <v>4183181.15</v>
      </c>
      <c r="O253" s="37">
        <v>0</v>
      </c>
      <c r="P253" s="37">
        <v>0</v>
      </c>
      <c r="Q253" s="32">
        <v>0</v>
      </c>
      <c r="R253" s="32">
        <v>0</v>
      </c>
      <c r="S253" s="32">
        <v>0</v>
      </c>
      <c r="T253" s="32">
        <v>0</v>
      </c>
      <c r="U253" s="32">
        <v>0</v>
      </c>
      <c r="V253" s="32">
        <v>0</v>
      </c>
      <c r="W253" s="32">
        <v>0</v>
      </c>
      <c r="X253" s="32">
        <v>0</v>
      </c>
      <c r="Y253" s="32">
        <v>0</v>
      </c>
      <c r="Z253" s="32">
        <v>0</v>
      </c>
      <c r="AA253" s="32">
        <v>0</v>
      </c>
      <c r="AB253" s="32">
        <v>0</v>
      </c>
      <c r="AC253" s="32">
        <f>ROUND(N253*1.5%,2)</f>
        <v>62747.72</v>
      </c>
      <c r="AD253" s="32">
        <v>0</v>
      </c>
      <c r="AE253" s="32">
        <v>0</v>
      </c>
      <c r="AF253" s="35" t="s">
        <v>275</v>
      </c>
      <c r="AG253" s="35">
        <v>2020</v>
      </c>
      <c r="AH253" s="36">
        <v>2020</v>
      </c>
    </row>
    <row r="254" spans="1:46" ht="61.5" x14ac:dyDescent="0.85">
      <c r="A254" s="21">
        <v>1</v>
      </c>
      <c r="B254" s="70">
        <f>SUBTOTAL(103,$A$22:A254)</f>
        <v>228</v>
      </c>
      <c r="C254" s="25" t="s">
        <v>1269</v>
      </c>
      <c r="D254" s="32">
        <f t="shared" si="66"/>
        <v>4667646.4800000004</v>
      </c>
      <c r="E254" s="37">
        <v>0</v>
      </c>
      <c r="F254" s="37">
        <v>0</v>
      </c>
      <c r="G254" s="37">
        <v>0</v>
      </c>
      <c r="H254" s="37">
        <v>0</v>
      </c>
      <c r="I254" s="37">
        <v>0</v>
      </c>
      <c r="J254" s="37">
        <v>0</v>
      </c>
      <c r="K254" s="34">
        <v>0</v>
      </c>
      <c r="L254" s="32">
        <v>0</v>
      </c>
      <c r="M254" s="32">
        <v>0</v>
      </c>
      <c r="N254" s="32">
        <v>0</v>
      </c>
      <c r="O254" s="37">
        <v>0</v>
      </c>
      <c r="P254" s="37">
        <v>0</v>
      </c>
      <c r="Q254" s="32">
        <v>1883.4</v>
      </c>
      <c r="R254" s="32">
        <v>4598666.4800000004</v>
      </c>
      <c r="S254" s="32">
        <v>0</v>
      </c>
      <c r="T254" s="32">
        <v>0</v>
      </c>
      <c r="U254" s="32">
        <v>0</v>
      </c>
      <c r="V254" s="32">
        <v>0</v>
      </c>
      <c r="W254" s="32">
        <v>0</v>
      </c>
      <c r="X254" s="32">
        <v>0</v>
      </c>
      <c r="Y254" s="32">
        <v>0</v>
      </c>
      <c r="Z254" s="32">
        <v>0</v>
      </c>
      <c r="AA254" s="32">
        <v>0</v>
      </c>
      <c r="AB254" s="32">
        <v>0</v>
      </c>
      <c r="AC254" s="32">
        <f>ROUND(R254*1.5%,2)</f>
        <v>68980</v>
      </c>
      <c r="AD254" s="32">
        <v>0</v>
      </c>
      <c r="AE254" s="32">
        <v>0</v>
      </c>
      <c r="AF254" s="35" t="s">
        <v>275</v>
      </c>
      <c r="AG254" s="35">
        <v>2020</v>
      </c>
      <c r="AH254" s="36">
        <v>2020</v>
      </c>
    </row>
    <row r="255" spans="1:46" ht="61.5" x14ac:dyDescent="0.85">
      <c r="A255" s="21">
        <v>1</v>
      </c>
      <c r="B255" s="70">
        <f>SUBTOTAL(103,$A$22:A255)</f>
        <v>229</v>
      </c>
      <c r="C255" s="25" t="s">
        <v>1273</v>
      </c>
      <c r="D255" s="32">
        <f t="shared" si="66"/>
        <v>2596982.2399999998</v>
      </c>
      <c r="E255" s="37">
        <v>670630.80000000005</v>
      </c>
      <c r="F255" s="37">
        <v>1236886.95</v>
      </c>
      <c r="G255" s="37">
        <v>0</v>
      </c>
      <c r="H255" s="37">
        <v>651085.43999999994</v>
      </c>
      <c r="I255" s="37">
        <v>0</v>
      </c>
      <c r="J255" s="37">
        <v>0</v>
      </c>
      <c r="K255" s="34">
        <v>0</v>
      </c>
      <c r="L255" s="32">
        <v>0</v>
      </c>
      <c r="M255" s="32">
        <v>0</v>
      </c>
      <c r="N255" s="32">
        <v>0</v>
      </c>
      <c r="O255" s="37">
        <v>0</v>
      </c>
      <c r="P255" s="37">
        <v>0</v>
      </c>
      <c r="Q255" s="32">
        <v>0</v>
      </c>
      <c r="R255" s="32">
        <v>0</v>
      </c>
      <c r="S255" s="32">
        <v>0</v>
      </c>
      <c r="T255" s="32">
        <v>0</v>
      </c>
      <c r="U255" s="32">
        <v>0</v>
      </c>
      <c r="V255" s="32">
        <v>0</v>
      </c>
      <c r="W255" s="32">
        <v>0</v>
      </c>
      <c r="X255" s="32">
        <v>0</v>
      </c>
      <c r="Y255" s="32">
        <v>0</v>
      </c>
      <c r="Z255" s="32">
        <v>0</v>
      </c>
      <c r="AA255" s="32">
        <v>0</v>
      </c>
      <c r="AB255" s="32">
        <v>0</v>
      </c>
      <c r="AC255" s="32">
        <f>ROUND((E255+F255+G255+H255+I255+J255)*1.5%,2)</f>
        <v>38379.050000000003</v>
      </c>
      <c r="AD255" s="32">
        <v>0</v>
      </c>
      <c r="AE255" s="32">
        <v>0</v>
      </c>
      <c r="AF255" s="35" t="s">
        <v>275</v>
      </c>
      <c r="AG255" s="35">
        <v>2020</v>
      </c>
      <c r="AH255" s="36">
        <v>2020</v>
      </c>
    </row>
    <row r="256" spans="1:46" ht="61.5" x14ac:dyDescent="0.85">
      <c r="A256" s="21">
        <v>1</v>
      </c>
      <c r="B256" s="70">
        <f>SUBTOTAL(103,$A$22:A256)</f>
        <v>230</v>
      </c>
      <c r="C256" s="25" t="s">
        <v>1274</v>
      </c>
      <c r="D256" s="32">
        <f t="shared" si="66"/>
        <v>5481847.6600000001</v>
      </c>
      <c r="E256" s="37">
        <v>0</v>
      </c>
      <c r="F256" s="37">
        <v>0</v>
      </c>
      <c r="G256" s="37">
        <v>0</v>
      </c>
      <c r="H256" s="37">
        <v>0</v>
      </c>
      <c r="I256" s="37">
        <v>0</v>
      </c>
      <c r="J256" s="37">
        <v>0</v>
      </c>
      <c r="K256" s="34">
        <v>0</v>
      </c>
      <c r="L256" s="32">
        <v>0</v>
      </c>
      <c r="M256" s="32">
        <v>1310</v>
      </c>
      <c r="N256" s="32">
        <v>5400835.1299999999</v>
      </c>
      <c r="O256" s="37">
        <v>0</v>
      </c>
      <c r="P256" s="37">
        <v>0</v>
      </c>
      <c r="Q256" s="32">
        <v>0</v>
      </c>
      <c r="R256" s="32">
        <v>0</v>
      </c>
      <c r="S256" s="32">
        <v>0</v>
      </c>
      <c r="T256" s="32">
        <v>0</v>
      </c>
      <c r="U256" s="32">
        <v>0</v>
      </c>
      <c r="V256" s="32">
        <v>0</v>
      </c>
      <c r="W256" s="32">
        <v>0</v>
      </c>
      <c r="X256" s="32">
        <v>0</v>
      </c>
      <c r="Y256" s="32">
        <v>0</v>
      </c>
      <c r="Z256" s="32">
        <v>0</v>
      </c>
      <c r="AA256" s="32">
        <v>0</v>
      </c>
      <c r="AB256" s="32">
        <v>0</v>
      </c>
      <c r="AC256" s="32">
        <f>ROUND(N256*1.5%,2)</f>
        <v>81012.53</v>
      </c>
      <c r="AD256" s="32">
        <v>0</v>
      </c>
      <c r="AE256" s="32">
        <v>0</v>
      </c>
      <c r="AF256" s="35" t="s">
        <v>275</v>
      </c>
      <c r="AG256" s="35">
        <v>2020</v>
      </c>
      <c r="AH256" s="36">
        <v>2020</v>
      </c>
    </row>
    <row r="257" spans="1:46" ht="61.5" x14ac:dyDescent="0.85">
      <c r="A257" s="21">
        <v>1</v>
      </c>
      <c r="B257" s="70">
        <f>SUBTOTAL(103,$A$22:A257)</f>
        <v>231</v>
      </c>
      <c r="C257" s="25" t="s">
        <v>1275</v>
      </c>
      <c r="D257" s="32">
        <f t="shared" si="66"/>
        <v>1562740.68</v>
      </c>
      <c r="E257" s="37">
        <v>0</v>
      </c>
      <c r="F257" s="37">
        <v>0</v>
      </c>
      <c r="G257" s="37">
        <v>0</v>
      </c>
      <c r="H257" s="37">
        <v>0</v>
      </c>
      <c r="I257" s="37">
        <v>0</v>
      </c>
      <c r="J257" s="37">
        <v>0</v>
      </c>
      <c r="K257" s="34">
        <v>0</v>
      </c>
      <c r="L257" s="32">
        <v>0</v>
      </c>
      <c r="M257" s="32">
        <v>0</v>
      </c>
      <c r="N257" s="32">
        <v>0</v>
      </c>
      <c r="O257" s="37">
        <v>0</v>
      </c>
      <c r="P257" s="37">
        <v>0</v>
      </c>
      <c r="Q257" s="32">
        <v>0</v>
      </c>
      <c r="R257" s="32">
        <v>0</v>
      </c>
      <c r="S257" s="32">
        <v>128</v>
      </c>
      <c r="T257" s="32">
        <v>1421419.39</v>
      </c>
      <c r="U257" s="32">
        <v>0</v>
      </c>
      <c r="V257" s="32">
        <v>0</v>
      </c>
      <c r="W257" s="32">
        <v>0</v>
      </c>
      <c r="X257" s="32">
        <v>0</v>
      </c>
      <c r="Y257" s="32">
        <v>0</v>
      </c>
      <c r="Z257" s="32">
        <v>0</v>
      </c>
      <c r="AA257" s="32">
        <v>0</v>
      </c>
      <c r="AB257" s="32">
        <v>0</v>
      </c>
      <c r="AC257" s="32">
        <f>ROUND(T257*1.5%,2)</f>
        <v>21321.29</v>
      </c>
      <c r="AD257" s="32">
        <v>0</v>
      </c>
      <c r="AE257" s="32">
        <v>120000</v>
      </c>
      <c r="AF257" s="35" t="s">
        <v>275</v>
      </c>
      <c r="AG257" s="35">
        <v>2020</v>
      </c>
      <c r="AH257" s="36">
        <v>2020</v>
      </c>
    </row>
    <row r="258" spans="1:46" ht="61.5" x14ac:dyDescent="0.85">
      <c r="A258" s="21">
        <v>1</v>
      </c>
      <c r="B258" s="70">
        <f>SUBTOTAL(103,$A$22:A258)</f>
        <v>232</v>
      </c>
      <c r="C258" s="25" t="s">
        <v>1276</v>
      </c>
      <c r="D258" s="32">
        <f t="shared" si="66"/>
        <v>3621850.1999999997</v>
      </c>
      <c r="E258" s="37">
        <v>0</v>
      </c>
      <c r="F258" s="37">
        <v>0</v>
      </c>
      <c r="G258" s="37">
        <v>0</v>
      </c>
      <c r="H258" s="37">
        <v>0</v>
      </c>
      <c r="I258" s="37">
        <v>0</v>
      </c>
      <c r="J258" s="37">
        <v>0</v>
      </c>
      <c r="K258" s="34">
        <v>0</v>
      </c>
      <c r="L258" s="32">
        <v>0</v>
      </c>
      <c r="M258" s="32">
        <v>781</v>
      </c>
      <c r="N258" s="32">
        <v>3568325.32</v>
      </c>
      <c r="O258" s="37">
        <v>0</v>
      </c>
      <c r="P258" s="37">
        <v>0</v>
      </c>
      <c r="Q258" s="32">
        <v>0</v>
      </c>
      <c r="R258" s="32">
        <v>0</v>
      </c>
      <c r="S258" s="32">
        <v>0</v>
      </c>
      <c r="T258" s="32">
        <v>0</v>
      </c>
      <c r="U258" s="32">
        <v>0</v>
      </c>
      <c r="V258" s="32">
        <v>0</v>
      </c>
      <c r="W258" s="32">
        <v>0</v>
      </c>
      <c r="X258" s="32">
        <v>0</v>
      </c>
      <c r="Y258" s="32">
        <v>0</v>
      </c>
      <c r="Z258" s="32">
        <v>0</v>
      </c>
      <c r="AA258" s="32">
        <v>0</v>
      </c>
      <c r="AB258" s="32">
        <v>0</v>
      </c>
      <c r="AC258" s="32">
        <f t="shared" ref="AC258:AC259" si="70">ROUND(N258*1.5%,2)</f>
        <v>53524.88</v>
      </c>
      <c r="AD258" s="32">
        <v>0</v>
      </c>
      <c r="AE258" s="32">
        <v>0</v>
      </c>
      <c r="AF258" s="35" t="s">
        <v>275</v>
      </c>
      <c r="AG258" s="35">
        <v>2020</v>
      </c>
      <c r="AH258" s="36">
        <v>2020</v>
      </c>
    </row>
    <row r="259" spans="1:46" ht="61.5" x14ac:dyDescent="0.85">
      <c r="A259" s="21">
        <v>1</v>
      </c>
      <c r="B259" s="70">
        <f>SUBTOTAL(103,$A$22:A259)</f>
        <v>233</v>
      </c>
      <c r="C259" s="25" t="s">
        <v>1277</v>
      </c>
      <c r="D259" s="32">
        <f t="shared" si="66"/>
        <v>7140948.1100000003</v>
      </c>
      <c r="E259" s="37">
        <v>0</v>
      </c>
      <c r="F259" s="37">
        <v>0</v>
      </c>
      <c r="G259" s="37">
        <v>0</v>
      </c>
      <c r="H259" s="37">
        <v>0</v>
      </c>
      <c r="I259" s="37">
        <v>0</v>
      </c>
      <c r="J259" s="37">
        <v>0</v>
      </c>
      <c r="K259" s="34">
        <v>0</v>
      </c>
      <c r="L259" s="32">
        <v>0</v>
      </c>
      <c r="M259" s="32">
        <v>1235.7</v>
      </c>
      <c r="N259" s="32">
        <v>7035416.8600000003</v>
      </c>
      <c r="O259" s="37">
        <v>0</v>
      </c>
      <c r="P259" s="37">
        <v>0</v>
      </c>
      <c r="Q259" s="32">
        <v>0</v>
      </c>
      <c r="R259" s="32">
        <v>0</v>
      </c>
      <c r="S259" s="32">
        <v>0</v>
      </c>
      <c r="T259" s="32">
        <v>0</v>
      </c>
      <c r="U259" s="32">
        <v>0</v>
      </c>
      <c r="V259" s="32">
        <v>0</v>
      </c>
      <c r="W259" s="32">
        <v>0</v>
      </c>
      <c r="X259" s="32">
        <v>0</v>
      </c>
      <c r="Y259" s="32">
        <v>0</v>
      </c>
      <c r="Z259" s="32">
        <v>0</v>
      </c>
      <c r="AA259" s="32">
        <v>0</v>
      </c>
      <c r="AB259" s="32">
        <v>0</v>
      </c>
      <c r="AC259" s="32">
        <f t="shared" si="70"/>
        <v>105531.25</v>
      </c>
      <c r="AD259" s="32">
        <v>0</v>
      </c>
      <c r="AE259" s="32">
        <v>0</v>
      </c>
      <c r="AF259" s="35" t="s">
        <v>275</v>
      </c>
      <c r="AG259" s="35">
        <v>2020</v>
      </c>
      <c r="AH259" s="36">
        <v>2020</v>
      </c>
    </row>
    <row r="260" spans="1:46" ht="61.5" x14ac:dyDescent="0.85">
      <c r="A260" s="21">
        <v>1</v>
      </c>
      <c r="B260" s="70">
        <f>SUBTOTAL(103,$A$22:A260)</f>
        <v>234</v>
      </c>
      <c r="C260" s="25" t="s">
        <v>1278</v>
      </c>
      <c r="D260" s="32">
        <f t="shared" si="66"/>
        <v>732022.04</v>
      </c>
      <c r="E260" s="37">
        <v>0</v>
      </c>
      <c r="F260" s="37">
        <v>0</v>
      </c>
      <c r="G260" s="37">
        <v>567639.41</v>
      </c>
      <c r="H260" s="37">
        <v>153564.57</v>
      </c>
      <c r="I260" s="37">
        <v>0</v>
      </c>
      <c r="J260" s="37">
        <v>0</v>
      </c>
      <c r="K260" s="34">
        <v>0</v>
      </c>
      <c r="L260" s="32">
        <v>0</v>
      </c>
      <c r="M260" s="32">
        <v>0</v>
      </c>
      <c r="N260" s="32">
        <v>0</v>
      </c>
      <c r="O260" s="37">
        <v>0</v>
      </c>
      <c r="P260" s="37">
        <v>0</v>
      </c>
      <c r="Q260" s="32">
        <v>0</v>
      </c>
      <c r="R260" s="32">
        <v>0</v>
      </c>
      <c r="S260" s="32">
        <v>0</v>
      </c>
      <c r="T260" s="32">
        <v>0</v>
      </c>
      <c r="U260" s="32">
        <v>0</v>
      </c>
      <c r="V260" s="32">
        <v>0</v>
      </c>
      <c r="W260" s="32">
        <v>0</v>
      </c>
      <c r="X260" s="32">
        <v>0</v>
      </c>
      <c r="Y260" s="32">
        <v>0</v>
      </c>
      <c r="Z260" s="32">
        <v>0</v>
      </c>
      <c r="AA260" s="32">
        <v>0</v>
      </c>
      <c r="AB260" s="32">
        <v>0</v>
      </c>
      <c r="AC260" s="32">
        <f>ROUND((E260+F260+G260+H260+I260+J260)*1.5%,2)</f>
        <v>10818.06</v>
      </c>
      <c r="AD260" s="32">
        <v>0</v>
      </c>
      <c r="AE260" s="32">
        <v>0</v>
      </c>
      <c r="AF260" s="35" t="s">
        <v>275</v>
      </c>
      <c r="AG260" s="35">
        <v>2020</v>
      </c>
      <c r="AH260" s="36">
        <v>2020</v>
      </c>
    </row>
    <row r="261" spans="1:46" ht="61.5" x14ac:dyDescent="0.85">
      <c r="A261" s="21">
        <v>1</v>
      </c>
      <c r="B261" s="70">
        <f>SUBTOTAL(103,$A$22:A261)</f>
        <v>235</v>
      </c>
      <c r="C261" s="25" t="s">
        <v>1279</v>
      </c>
      <c r="D261" s="32">
        <f t="shared" si="66"/>
        <v>5959799.2299999995</v>
      </c>
      <c r="E261" s="37">
        <v>0</v>
      </c>
      <c r="F261" s="37">
        <v>0</v>
      </c>
      <c r="G261" s="37">
        <v>0</v>
      </c>
      <c r="H261" s="37">
        <v>0</v>
      </c>
      <c r="I261" s="37">
        <v>0</v>
      </c>
      <c r="J261" s="37">
        <v>0</v>
      </c>
      <c r="K261" s="34">
        <v>0</v>
      </c>
      <c r="L261" s="32">
        <v>0</v>
      </c>
      <c r="M261" s="32">
        <v>1353.41</v>
      </c>
      <c r="N261" s="32">
        <v>5871723.3799999999</v>
      </c>
      <c r="O261" s="37">
        <v>0</v>
      </c>
      <c r="P261" s="37">
        <v>0</v>
      </c>
      <c r="Q261" s="32">
        <v>0</v>
      </c>
      <c r="R261" s="32">
        <v>0</v>
      </c>
      <c r="S261" s="32">
        <v>0</v>
      </c>
      <c r="T261" s="32">
        <v>0</v>
      </c>
      <c r="U261" s="32">
        <v>0</v>
      </c>
      <c r="V261" s="32">
        <v>0</v>
      </c>
      <c r="W261" s="32">
        <v>0</v>
      </c>
      <c r="X261" s="32">
        <v>0</v>
      </c>
      <c r="Y261" s="32">
        <v>0</v>
      </c>
      <c r="Z261" s="32">
        <v>0</v>
      </c>
      <c r="AA261" s="32">
        <v>0</v>
      </c>
      <c r="AB261" s="32">
        <v>0</v>
      </c>
      <c r="AC261" s="32">
        <f t="shared" ref="AC261:AC263" si="71">ROUND(N261*1.5%,2)</f>
        <v>88075.85</v>
      </c>
      <c r="AD261" s="32">
        <v>0</v>
      </c>
      <c r="AE261" s="32">
        <v>0</v>
      </c>
      <c r="AF261" s="35" t="s">
        <v>275</v>
      </c>
      <c r="AG261" s="35">
        <v>2020</v>
      </c>
      <c r="AH261" s="36">
        <v>2020</v>
      </c>
    </row>
    <row r="262" spans="1:46" ht="61.5" x14ac:dyDescent="0.85">
      <c r="A262" s="21">
        <v>1</v>
      </c>
      <c r="B262" s="70">
        <f>SUBTOTAL(103,$A$22:A262)</f>
        <v>236</v>
      </c>
      <c r="C262" s="25" t="s">
        <v>1280</v>
      </c>
      <c r="D262" s="32">
        <f t="shared" si="66"/>
        <v>3161127.77</v>
      </c>
      <c r="E262" s="37">
        <v>0</v>
      </c>
      <c r="F262" s="37">
        <v>0</v>
      </c>
      <c r="G262" s="37">
        <v>0</v>
      </c>
      <c r="H262" s="37">
        <v>0</v>
      </c>
      <c r="I262" s="37">
        <v>0</v>
      </c>
      <c r="J262" s="37">
        <v>0</v>
      </c>
      <c r="K262" s="34">
        <v>0</v>
      </c>
      <c r="L262" s="32">
        <v>0</v>
      </c>
      <c r="M262" s="32">
        <v>600</v>
      </c>
      <c r="N262" s="32">
        <v>3015889.43</v>
      </c>
      <c r="O262" s="37">
        <v>0</v>
      </c>
      <c r="P262" s="37">
        <v>0</v>
      </c>
      <c r="Q262" s="32">
        <v>0</v>
      </c>
      <c r="R262" s="32">
        <v>0</v>
      </c>
      <c r="S262" s="32">
        <v>0</v>
      </c>
      <c r="T262" s="32">
        <v>0</v>
      </c>
      <c r="U262" s="32">
        <v>0</v>
      </c>
      <c r="V262" s="32">
        <v>0</v>
      </c>
      <c r="W262" s="32">
        <v>0</v>
      </c>
      <c r="X262" s="32">
        <v>0</v>
      </c>
      <c r="Y262" s="32">
        <v>0</v>
      </c>
      <c r="Z262" s="32">
        <v>0</v>
      </c>
      <c r="AA262" s="32">
        <v>0</v>
      </c>
      <c r="AB262" s="32">
        <v>0</v>
      </c>
      <c r="AC262" s="32">
        <f t="shared" si="71"/>
        <v>45238.34</v>
      </c>
      <c r="AD262" s="32">
        <v>100000</v>
      </c>
      <c r="AE262" s="32">
        <v>0</v>
      </c>
      <c r="AF262" s="35">
        <v>2020</v>
      </c>
      <c r="AG262" s="35">
        <v>2020</v>
      </c>
      <c r="AH262" s="36">
        <v>2020</v>
      </c>
    </row>
    <row r="263" spans="1:46" ht="61.5" x14ac:dyDescent="0.85">
      <c r="A263" s="21">
        <v>1</v>
      </c>
      <c r="B263" s="70">
        <f>SUBTOTAL(103,$A$22:A263)</f>
        <v>237</v>
      </c>
      <c r="C263" s="25" t="s">
        <v>1457</v>
      </c>
      <c r="D263" s="32">
        <f t="shared" si="66"/>
        <v>2499235.2800000003</v>
      </c>
      <c r="E263" s="32">
        <v>0</v>
      </c>
      <c r="F263" s="32">
        <v>0</v>
      </c>
      <c r="G263" s="32">
        <v>0</v>
      </c>
      <c r="H263" s="32">
        <v>0</v>
      </c>
      <c r="I263" s="32">
        <v>0</v>
      </c>
      <c r="J263" s="32">
        <v>0</v>
      </c>
      <c r="K263" s="34">
        <v>0</v>
      </c>
      <c r="L263" s="32">
        <v>0</v>
      </c>
      <c r="M263" s="32">
        <v>439.23</v>
      </c>
      <c r="N263" s="32">
        <v>2334221.9500000002</v>
      </c>
      <c r="O263" s="32">
        <v>0</v>
      </c>
      <c r="P263" s="32">
        <v>0</v>
      </c>
      <c r="Q263" s="32">
        <v>0</v>
      </c>
      <c r="R263" s="32">
        <v>0</v>
      </c>
      <c r="S263" s="32">
        <v>0</v>
      </c>
      <c r="T263" s="32">
        <v>0</v>
      </c>
      <c r="U263" s="32">
        <v>0</v>
      </c>
      <c r="V263" s="32">
        <v>0</v>
      </c>
      <c r="W263" s="32">
        <v>0</v>
      </c>
      <c r="X263" s="32">
        <v>0</v>
      </c>
      <c r="Y263" s="32">
        <v>0</v>
      </c>
      <c r="Z263" s="32">
        <v>0</v>
      </c>
      <c r="AA263" s="32">
        <v>0</v>
      </c>
      <c r="AB263" s="32">
        <v>0</v>
      </c>
      <c r="AC263" s="32">
        <f t="shared" si="71"/>
        <v>35013.33</v>
      </c>
      <c r="AD263" s="32">
        <v>130000</v>
      </c>
      <c r="AE263" s="32">
        <v>0</v>
      </c>
      <c r="AF263" s="35">
        <v>2020</v>
      </c>
      <c r="AG263" s="35">
        <v>2020</v>
      </c>
      <c r="AH263" s="36">
        <v>2020</v>
      </c>
    </row>
    <row r="264" spans="1:46" ht="61.5" x14ac:dyDescent="0.85">
      <c r="A264" s="21">
        <v>1</v>
      </c>
      <c r="B264" s="70">
        <f>SUBTOTAL(103,$A$22:A264)</f>
        <v>238</v>
      </c>
      <c r="C264" s="25" t="s">
        <v>1456</v>
      </c>
      <c r="D264" s="32">
        <f t="shared" si="66"/>
        <v>2958754.75</v>
      </c>
      <c r="E264" s="32">
        <v>0</v>
      </c>
      <c r="F264" s="32">
        <v>0</v>
      </c>
      <c r="G264" s="32">
        <v>0</v>
      </c>
      <c r="H264" s="32">
        <v>0</v>
      </c>
      <c r="I264" s="32">
        <v>0</v>
      </c>
      <c r="J264" s="32">
        <v>0</v>
      </c>
      <c r="K264" s="34">
        <v>0</v>
      </c>
      <c r="L264" s="32">
        <v>0</v>
      </c>
      <c r="M264" s="32">
        <v>524.41999999999996</v>
      </c>
      <c r="N264" s="32">
        <f>2786951.43-0.94</f>
        <v>2786950.49</v>
      </c>
      <c r="O264" s="32">
        <v>0</v>
      </c>
      <c r="P264" s="32">
        <v>0</v>
      </c>
      <c r="Q264" s="32">
        <v>0</v>
      </c>
      <c r="R264" s="32">
        <v>0</v>
      </c>
      <c r="S264" s="32">
        <v>0</v>
      </c>
      <c r="T264" s="32">
        <v>0</v>
      </c>
      <c r="U264" s="32">
        <v>0</v>
      </c>
      <c r="V264" s="32">
        <v>0</v>
      </c>
      <c r="W264" s="32">
        <v>0</v>
      </c>
      <c r="X264" s="32">
        <v>0</v>
      </c>
      <c r="Y264" s="32">
        <v>0</v>
      </c>
      <c r="Z264" s="32">
        <v>0</v>
      </c>
      <c r="AA264" s="32">
        <v>0</v>
      </c>
      <c r="AB264" s="32">
        <v>0</v>
      </c>
      <c r="AC264" s="32">
        <f t="shared" ref="AC264" si="72">ROUND(N264*1.5%,2)</f>
        <v>41804.26</v>
      </c>
      <c r="AD264" s="32">
        <v>130000</v>
      </c>
      <c r="AE264" s="32">
        <v>0</v>
      </c>
      <c r="AF264" s="35">
        <v>2020</v>
      </c>
      <c r="AG264" s="35">
        <v>2020</v>
      </c>
      <c r="AH264" s="36">
        <v>2020</v>
      </c>
    </row>
    <row r="265" spans="1:46" ht="61.5" x14ac:dyDescent="0.85">
      <c r="A265" s="21">
        <v>1</v>
      </c>
      <c r="B265" s="70">
        <f>SUBTOTAL(103,$A$22:A265)</f>
        <v>239</v>
      </c>
      <c r="C265" s="25" t="s">
        <v>1477</v>
      </c>
      <c r="D265" s="32">
        <f t="shared" si="66"/>
        <v>11987844.51</v>
      </c>
      <c r="E265" s="32">
        <v>0</v>
      </c>
      <c r="F265" s="32">
        <v>0</v>
      </c>
      <c r="G265" s="32">
        <v>0</v>
      </c>
      <c r="H265" s="32">
        <v>0</v>
      </c>
      <c r="I265" s="32">
        <v>0</v>
      </c>
      <c r="J265" s="32">
        <v>0</v>
      </c>
      <c r="K265" s="34">
        <v>6</v>
      </c>
      <c r="L265" s="32">
        <v>11987844.51</v>
      </c>
      <c r="M265" s="32">
        <v>0</v>
      </c>
      <c r="N265" s="32">
        <v>0</v>
      </c>
      <c r="O265" s="32">
        <v>0</v>
      </c>
      <c r="P265" s="32">
        <v>0</v>
      </c>
      <c r="Q265" s="32">
        <v>0</v>
      </c>
      <c r="R265" s="32">
        <v>0</v>
      </c>
      <c r="S265" s="32">
        <v>0</v>
      </c>
      <c r="T265" s="32">
        <v>0</v>
      </c>
      <c r="U265" s="32">
        <v>0</v>
      </c>
      <c r="V265" s="32">
        <v>0</v>
      </c>
      <c r="W265" s="32">
        <v>0</v>
      </c>
      <c r="X265" s="32">
        <v>0</v>
      </c>
      <c r="Y265" s="32">
        <v>0</v>
      </c>
      <c r="Z265" s="32">
        <v>0</v>
      </c>
      <c r="AA265" s="32">
        <v>0</v>
      </c>
      <c r="AB265" s="32">
        <v>0</v>
      </c>
      <c r="AC265" s="32">
        <v>0</v>
      </c>
      <c r="AD265" s="32">
        <v>0</v>
      </c>
      <c r="AE265" s="32">
        <v>0</v>
      </c>
      <c r="AF265" s="35" t="s">
        <v>275</v>
      </c>
      <c r="AG265" s="35">
        <v>2020</v>
      </c>
      <c r="AH265" s="36" t="s">
        <v>275</v>
      </c>
    </row>
    <row r="266" spans="1:46" ht="61.5" x14ac:dyDescent="0.85">
      <c r="B266" s="25" t="s">
        <v>868</v>
      </c>
      <c r="C266" s="25"/>
      <c r="D266" s="32">
        <f>SUM(D267:D273)</f>
        <v>31393292.600000001</v>
      </c>
      <c r="E266" s="32">
        <f t="shared" ref="E266:AE266" si="73">SUM(E267:E273)</f>
        <v>145980.06</v>
      </c>
      <c r="F266" s="32">
        <f t="shared" si="73"/>
        <v>431178.77</v>
      </c>
      <c r="G266" s="32">
        <f t="shared" si="73"/>
        <v>2599107.0700000003</v>
      </c>
      <c r="H266" s="32">
        <f t="shared" si="73"/>
        <v>270735.94</v>
      </c>
      <c r="I266" s="32">
        <f t="shared" si="73"/>
        <v>0</v>
      </c>
      <c r="J266" s="32">
        <f t="shared" si="73"/>
        <v>0</v>
      </c>
      <c r="K266" s="34">
        <f t="shared" si="73"/>
        <v>0</v>
      </c>
      <c r="L266" s="32">
        <f t="shared" si="73"/>
        <v>0</v>
      </c>
      <c r="M266" s="32">
        <f t="shared" si="73"/>
        <v>6904.4100000000008</v>
      </c>
      <c r="N266" s="32">
        <f t="shared" si="73"/>
        <v>27127670.68</v>
      </c>
      <c r="O266" s="32">
        <f t="shared" si="73"/>
        <v>0</v>
      </c>
      <c r="P266" s="32">
        <f t="shared" si="73"/>
        <v>0</v>
      </c>
      <c r="Q266" s="32">
        <f t="shared" si="73"/>
        <v>0</v>
      </c>
      <c r="R266" s="32">
        <f t="shared" si="73"/>
        <v>0</v>
      </c>
      <c r="S266" s="32">
        <f t="shared" si="73"/>
        <v>0</v>
      </c>
      <c r="T266" s="32">
        <f t="shared" si="73"/>
        <v>0</v>
      </c>
      <c r="U266" s="32">
        <f t="shared" si="73"/>
        <v>0</v>
      </c>
      <c r="V266" s="32">
        <f t="shared" si="73"/>
        <v>0</v>
      </c>
      <c r="W266" s="32">
        <f t="shared" si="73"/>
        <v>0</v>
      </c>
      <c r="X266" s="32">
        <f t="shared" si="73"/>
        <v>0</v>
      </c>
      <c r="Y266" s="32">
        <f t="shared" si="73"/>
        <v>0</v>
      </c>
      <c r="Z266" s="32">
        <f t="shared" si="73"/>
        <v>0</v>
      </c>
      <c r="AA266" s="32">
        <f t="shared" si="73"/>
        <v>0</v>
      </c>
      <c r="AB266" s="32">
        <f t="shared" si="73"/>
        <v>0</v>
      </c>
      <c r="AC266" s="32">
        <f t="shared" si="73"/>
        <v>458620.08</v>
      </c>
      <c r="AD266" s="32">
        <f t="shared" si="73"/>
        <v>360000</v>
      </c>
      <c r="AE266" s="32">
        <f t="shared" si="73"/>
        <v>0</v>
      </c>
      <c r="AF266" s="77" t="s">
        <v>801</v>
      </c>
      <c r="AG266" s="77" t="s">
        <v>801</v>
      </c>
      <c r="AH266" s="107" t="s">
        <v>801</v>
      </c>
      <c r="AT266" s="21" t="e">
        <f>VLOOKUP(C266,AW:AX,2,FALSE)</f>
        <v>#N/A</v>
      </c>
    </row>
    <row r="267" spans="1:46" ht="61.5" x14ac:dyDescent="0.85">
      <c r="A267" s="21">
        <v>1</v>
      </c>
      <c r="B267" s="70">
        <f>SUBTOTAL(103,$A$22:A267)</f>
        <v>240</v>
      </c>
      <c r="C267" s="25" t="s">
        <v>681</v>
      </c>
      <c r="D267" s="32">
        <f t="shared" ref="D267:D273" si="74">E267+F267+G267+H267+I267+J267+L267+N267+P267+R267+T267+U267+V267+W267+X267+Y267+Z267+AA267+AB267+AC267+AD267+AE267</f>
        <v>7599952.7599999998</v>
      </c>
      <c r="E267" s="37">
        <v>0</v>
      </c>
      <c r="F267" s="37">
        <v>0</v>
      </c>
      <c r="G267" s="37">
        <v>0</v>
      </c>
      <c r="H267" s="37">
        <v>0</v>
      </c>
      <c r="I267" s="37">
        <v>0</v>
      </c>
      <c r="J267" s="37">
        <v>0</v>
      </c>
      <c r="K267" s="34">
        <v>0</v>
      </c>
      <c r="L267" s="32">
        <v>0</v>
      </c>
      <c r="M267" s="32">
        <v>1399.31</v>
      </c>
      <c r="N267" s="32">
        <f>6710298.29+600000</f>
        <v>7310298.29</v>
      </c>
      <c r="O267" s="37">
        <v>0</v>
      </c>
      <c r="P267" s="37">
        <v>0</v>
      </c>
      <c r="Q267" s="32">
        <v>0</v>
      </c>
      <c r="R267" s="32">
        <v>0</v>
      </c>
      <c r="S267" s="32">
        <v>0</v>
      </c>
      <c r="T267" s="32">
        <v>0</v>
      </c>
      <c r="U267" s="32">
        <v>0</v>
      </c>
      <c r="V267" s="32">
        <v>0</v>
      </c>
      <c r="W267" s="32">
        <v>0</v>
      </c>
      <c r="X267" s="32">
        <v>0</v>
      </c>
      <c r="Y267" s="32">
        <v>0</v>
      </c>
      <c r="Z267" s="32">
        <v>0</v>
      </c>
      <c r="AA267" s="32">
        <v>0</v>
      </c>
      <c r="AB267" s="32">
        <v>0</v>
      </c>
      <c r="AC267" s="32">
        <f t="shared" ref="AC267:AC269" si="75">ROUND(N267*1.5%,2)</f>
        <v>109654.47</v>
      </c>
      <c r="AD267" s="32">
        <v>180000</v>
      </c>
      <c r="AE267" s="32">
        <v>0</v>
      </c>
      <c r="AF267" s="35">
        <v>2020</v>
      </c>
      <c r="AG267" s="35">
        <v>2020</v>
      </c>
      <c r="AH267" s="36">
        <v>2020</v>
      </c>
      <c r="AT267" s="21" t="e">
        <f>VLOOKUP(C267,AW:AX,2,FALSE)</f>
        <v>#N/A</v>
      </c>
    </row>
    <row r="268" spans="1:46" ht="61.5" x14ac:dyDescent="0.85">
      <c r="A268" s="21">
        <v>1</v>
      </c>
      <c r="B268" s="70">
        <f>SUBTOTAL(103,$A$22:A268)</f>
        <v>241</v>
      </c>
      <c r="C268" s="25" t="s">
        <v>687</v>
      </c>
      <c r="D268" s="32">
        <f t="shared" si="74"/>
        <v>6343303.6499999994</v>
      </c>
      <c r="E268" s="37">
        <v>0</v>
      </c>
      <c r="F268" s="37">
        <v>0</v>
      </c>
      <c r="G268" s="37">
        <v>0</v>
      </c>
      <c r="H268" s="37">
        <v>0</v>
      </c>
      <c r="I268" s="37">
        <v>0</v>
      </c>
      <c r="J268" s="37">
        <v>0</v>
      </c>
      <c r="K268" s="34">
        <v>0</v>
      </c>
      <c r="L268" s="32">
        <v>0</v>
      </c>
      <c r="M268" s="32">
        <v>1122.5</v>
      </c>
      <c r="N268" s="32">
        <f>5347793.1+724427.24</f>
        <v>6072220.3399999999</v>
      </c>
      <c r="O268" s="37">
        <v>0</v>
      </c>
      <c r="P268" s="37">
        <v>0</v>
      </c>
      <c r="Q268" s="32">
        <v>0</v>
      </c>
      <c r="R268" s="32">
        <v>0</v>
      </c>
      <c r="S268" s="32">
        <v>0</v>
      </c>
      <c r="T268" s="32">
        <v>0</v>
      </c>
      <c r="U268" s="32">
        <v>0</v>
      </c>
      <c r="V268" s="32">
        <v>0</v>
      </c>
      <c r="W268" s="32">
        <v>0</v>
      </c>
      <c r="X268" s="32">
        <v>0</v>
      </c>
      <c r="Y268" s="32">
        <v>0</v>
      </c>
      <c r="Z268" s="32">
        <v>0</v>
      </c>
      <c r="AA268" s="32">
        <v>0</v>
      </c>
      <c r="AB268" s="32">
        <v>0</v>
      </c>
      <c r="AC268" s="32">
        <f t="shared" si="75"/>
        <v>91083.31</v>
      </c>
      <c r="AD268" s="32">
        <v>180000</v>
      </c>
      <c r="AE268" s="32">
        <v>0</v>
      </c>
      <c r="AF268" s="35">
        <v>2020</v>
      </c>
      <c r="AG268" s="35">
        <v>2020</v>
      </c>
      <c r="AH268" s="36">
        <v>2020</v>
      </c>
      <c r="AT268" s="21" t="e">
        <f>VLOOKUP(C268,AW:AX,2,FALSE)</f>
        <v>#N/A</v>
      </c>
    </row>
    <row r="269" spans="1:46" ht="61.5" x14ac:dyDescent="0.85">
      <c r="A269" s="21">
        <v>1</v>
      </c>
      <c r="B269" s="70">
        <f>SUBTOTAL(103,$A$22:A269)</f>
        <v>242</v>
      </c>
      <c r="C269" s="25" t="s">
        <v>1281</v>
      </c>
      <c r="D269" s="32">
        <f t="shared" si="74"/>
        <v>5003194.3900000006</v>
      </c>
      <c r="E269" s="37">
        <v>0</v>
      </c>
      <c r="F269" s="37">
        <v>0</v>
      </c>
      <c r="G269" s="37">
        <v>0</v>
      </c>
      <c r="H269" s="37">
        <v>0</v>
      </c>
      <c r="I269" s="37">
        <v>0</v>
      </c>
      <c r="J269" s="37">
        <v>0</v>
      </c>
      <c r="K269" s="34">
        <v>0</v>
      </c>
      <c r="L269" s="32">
        <v>0</v>
      </c>
      <c r="M269" s="32">
        <v>2048.4</v>
      </c>
      <c r="N269" s="32">
        <v>4929255.5600000005</v>
      </c>
      <c r="O269" s="37">
        <v>0</v>
      </c>
      <c r="P269" s="37">
        <v>0</v>
      </c>
      <c r="Q269" s="32">
        <v>0</v>
      </c>
      <c r="R269" s="32">
        <v>0</v>
      </c>
      <c r="S269" s="32">
        <v>0</v>
      </c>
      <c r="T269" s="32">
        <v>0</v>
      </c>
      <c r="U269" s="32">
        <v>0</v>
      </c>
      <c r="V269" s="32">
        <v>0</v>
      </c>
      <c r="W269" s="32">
        <v>0</v>
      </c>
      <c r="X269" s="32">
        <v>0</v>
      </c>
      <c r="Y269" s="32">
        <v>0</v>
      </c>
      <c r="Z269" s="32">
        <v>0</v>
      </c>
      <c r="AA269" s="32">
        <v>0</v>
      </c>
      <c r="AB269" s="32">
        <v>0</v>
      </c>
      <c r="AC269" s="32">
        <f t="shared" si="75"/>
        <v>73938.83</v>
      </c>
      <c r="AD269" s="32">
        <v>0</v>
      </c>
      <c r="AE269" s="32">
        <v>0</v>
      </c>
      <c r="AF269" s="35" t="s">
        <v>275</v>
      </c>
      <c r="AG269" s="35">
        <v>2020</v>
      </c>
      <c r="AH269" s="36">
        <v>2020</v>
      </c>
    </row>
    <row r="270" spans="1:46" ht="61.5" x14ac:dyDescent="0.85">
      <c r="A270" s="21">
        <v>1</v>
      </c>
      <c r="B270" s="70">
        <f>SUBTOTAL(103,$A$22:A270)</f>
        <v>243</v>
      </c>
      <c r="C270" s="25" t="s">
        <v>1282</v>
      </c>
      <c r="D270" s="32">
        <f t="shared" si="74"/>
        <v>3498706.87</v>
      </c>
      <c r="E270" s="37">
        <v>145980.06</v>
      </c>
      <c r="F270" s="37">
        <v>431178.77</v>
      </c>
      <c r="G270" s="37">
        <v>2599107.0700000003</v>
      </c>
      <c r="H270" s="37">
        <v>270735.94</v>
      </c>
      <c r="I270" s="37">
        <v>0</v>
      </c>
      <c r="J270" s="37">
        <v>0</v>
      </c>
      <c r="K270" s="34">
        <v>0</v>
      </c>
      <c r="L270" s="32">
        <v>0</v>
      </c>
      <c r="M270" s="32">
        <v>0</v>
      </c>
      <c r="N270" s="32">
        <v>0</v>
      </c>
      <c r="O270" s="37">
        <v>0</v>
      </c>
      <c r="P270" s="37">
        <v>0</v>
      </c>
      <c r="Q270" s="32">
        <v>0</v>
      </c>
      <c r="R270" s="32">
        <v>0</v>
      </c>
      <c r="S270" s="32">
        <v>0</v>
      </c>
      <c r="T270" s="32">
        <v>0</v>
      </c>
      <c r="U270" s="32">
        <v>0</v>
      </c>
      <c r="V270" s="32">
        <v>0</v>
      </c>
      <c r="W270" s="32">
        <v>0</v>
      </c>
      <c r="X270" s="32">
        <v>0</v>
      </c>
      <c r="Y270" s="32">
        <v>0</v>
      </c>
      <c r="Z270" s="32">
        <v>0</v>
      </c>
      <c r="AA270" s="32">
        <v>0</v>
      </c>
      <c r="AB270" s="32">
        <v>0</v>
      </c>
      <c r="AC270" s="32">
        <f>ROUND((E270+F270+G270+H270+I270+J270)*1.5%,2)</f>
        <v>51705.03</v>
      </c>
      <c r="AD270" s="32">
        <v>0</v>
      </c>
      <c r="AE270" s="32">
        <v>0</v>
      </c>
      <c r="AF270" s="35" t="s">
        <v>275</v>
      </c>
      <c r="AG270" s="35">
        <v>2020</v>
      </c>
      <c r="AH270" s="36">
        <v>2020</v>
      </c>
    </row>
    <row r="271" spans="1:46" ht="61.5" x14ac:dyDescent="0.85">
      <c r="A271" s="21">
        <v>1</v>
      </c>
      <c r="B271" s="70">
        <f>SUBTOTAL(103,$A$22:A271)</f>
        <v>244</v>
      </c>
      <c r="C271" s="25" t="s">
        <v>1283</v>
      </c>
      <c r="D271" s="32">
        <f t="shared" si="74"/>
        <v>1654766.19</v>
      </c>
      <c r="E271" s="37">
        <v>0</v>
      </c>
      <c r="F271" s="37">
        <v>0</v>
      </c>
      <c r="G271" s="37">
        <v>0</v>
      </c>
      <c r="H271" s="37">
        <v>0</v>
      </c>
      <c r="I271" s="37">
        <v>0</v>
      </c>
      <c r="J271" s="37">
        <v>0</v>
      </c>
      <c r="K271" s="34">
        <v>0</v>
      </c>
      <c r="L271" s="32">
        <v>0</v>
      </c>
      <c r="M271" s="32">
        <v>452.1</v>
      </c>
      <c r="N271" s="32">
        <v>1630311.52</v>
      </c>
      <c r="O271" s="37">
        <v>0</v>
      </c>
      <c r="P271" s="37">
        <v>0</v>
      </c>
      <c r="Q271" s="32">
        <v>0</v>
      </c>
      <c r="R271" s="32">
        <v>0</v>
      </c>
      <c r="S271" s="32">
        <v>0</v>
      </c>
      <c r="T271" s="32">
        <v>0</v>
      </c>
      <c r="U271" s="32">
        <v>0</v>
      </c>
      <c r="V271" s="32">
        <v>0</v>
      </c>
      <c r="W271" s="32">
        <v>0</v>
      </c>
      <c r="X271" s="32">
        <v>0</v>
      </c>
      <c r="Y271" s="32">
        <v>0</v>
      </c>
      <c r="Z271" s="32">
        <v>0</v>
      </c>
      <c r="AA271" s="32">
        <v>0</v>
      </c>
      <c r="AB271" s="32">
        <v>0</v>
      </c>
      <c r="AC271" s="32">
        <f t="shared" ref="AC271:AC273" si="76">ROUND(N271*1.5%,2)</f>
        <v>24454.67</v>
      </c>
      <c r="AD271" s="32">
        <v>0</v>
      </c>
      <c r="AE271" s="32">
        <v>0</v>
      </c>
      <c r="AF271" s="35" t="s">
        <v>275</v>
      </c>
      <c r="AG271" s="35">
        <v>2020</v>
      </c>
      <c r="AH271" s="36">
        <v>2020</v>
      </c>
    </row>
    <row r="272" spans="1:46" ht="61.5" x14ac:dyDescent="0.85">
      <c r="A272" s="21">
        <v>1</v>
      </c>
      <c r="B272" s="70">
        <f>SUBTOTAL(103,$A$22:A272)</f>
        <v>245</v>
      </c>
      <c r="C272" s="25" t="s">
        <v>1284</v>
      </c>
      <c r="D272" s="32">
        <f t="shared" si="74"/>
        <v>4026735.04</v>
      </c>
      <c r="E272" s="37">
        <v>0</v>
      </c>
      <c r="F272" s="37">
        <v>0</v>
      </c>
      <c r="G272" s="37">
        <v>0</v>
      </c>
      <c r="H272" s="37">
        <v>0</v>
      </c>
      <c r="I272" s="37">
        <v>0</v>
      </c>
      <c r="J272" s="37">
        <v>0</v>
      </c>
      <c r="K272" s="34">
        <v>0</v>
      </c>
      <c r="L272" s="32">
        <v>0</v>
      </c>
      <c r="M272" s="32">
        <v>1036</v>
      </c>
      <c r="N272" s="32">
        <v>3967226.64</v>
      </c>
      <c r="O272" s="37">
        <v>0</v>
      </c>
      <c r="P272" s="37">
        <v>0</v>
      </c>
      <c r="Q272" s="32">
        <v>0</v>
      </c>
      <c r="R272" s="32">
        <v>0</v>
      </c>
      <c r="S272" s="32">
        <v>0</v>
      </c>
      <c r="T272" s="32">
        <v>0</v>
      </c>
      <c r="U272" s="32">
        <v>0</v>
      </c>
      <c r="V272" s="32">
        <v>0</v>
      </c>
      <c r="W272" s="32">
        <v>0</v>
      </c>
      <c r="X272" s="32">
        <v>0</v>
      </c>
      <c r="Y272" s="32">
        <v>0</v>
      </c>
      <c r="Z272" s="32">
        <v>0</v>
      </c>
      <c r="AA272" s="32">
        <v>0</v>
      </c>
      <c r="AB272" s="32">
        <v>0</v>
      </c>
      <c r="AC272" s="32">
        <f t="shared" si="76"/>
        <v>59508.4</v>
      </c>
      <c r="AD272" s="32">
        <v>0</v>
      </c>
      <c r="AE272" s="32">
        <v>0</v>
      </c>
      <c r="AF272" s="35" t="s">
        <v>275</v>
      </c>
      <c r="AG272" s="35">
        <v>2020</v>
      </c>
      <c r="AH272" s="36">
        <v>2020</v>
      </c>
    </row>
    <row r="273" spans="1:46" ht="61.5" x14ac:dyDescent="0.85">
      <c r="A273" s="21">
        <v>1</v>
      </c>
      <c r="B273" s="70">
        <f>SUBTOTAL(103,$A$22:A273)</f>
        <v>246</v>
      </c>
      <c r="C273" s="25" t="s">
        <v>685</v>
      </c>
      <c r="D273" s="32">
        <f t="shared" si="74"/>
        <v>3266633.7</v>
      </c>
      <c r="E273" s="37">
        <v>0</v>
      </c>
      <c r="F273" s="37">
        <v>0</v>
      </c>
      <c r="G273" s="37">
        <v>0</v>
      </c>
      <c r="H273" s="37">
        <v>0</v>
      </c>
      <c r="I273" s="37">
        <v>0</v>
      </c>
      <c r="J273" s="37">
        <v>0</v>
      </c>
      <c r="K273" s="34">
        <v>0</v>
      </c>
      <c r="L273" s="32">
        <v>0</v>
      </c>
      <c r="M273" s="32">
        <v>846.1</v>
      </c>
      <c r="N273" s="32">
        <v>3218358.33</v>
      </c>
      <c r="O273" s="37">
        <v>0</v>
      </c>
      <c r="P273" s="37">
        <v>0</v>
      </c>
      <c r="Q273" s="32">
        <v>0</v>
      </c>
      <c r="R273" s="32">
        <v>0</v>
      </c>
      <c r="S273" s="32">
        <v>0</v>
      </c>
      <c r="T273" s="32">
        <v>0</v>
      </c>
      <c r="U273" s="32">
        <v>0</v>
      </c>
      <c r="V273" s="32">
        <v>0</v>
      </c>
      <c r="W273" s="32">
        <v>0</v>
      </c>
      <c r="X273" s="32">
        <v>0</v>
      </c>
      <c r="Y273" s="32">
        <v>0</v>
      </c>
      <c r="Z273" s="32">
        <v>0</v>
      </c>
      <c r="AA273" s="32">
        <v>0</v>
      </c>
      <c r="AB273" s="32">
        <v>0</v>
      </c>
      <c r="AC273" s="32">
        <f t="shared" si="76"/>
        <v>48275.37</v>
      </c>
      <c r="AD273" s="32">
        <v>0</v>
      </c>
      <c r="AE273" s="32">
        <v>0</v>
      </c>
      <c r="AF273" s="35" t="s">
        <v>275</v>
      </c>
      <c r="AG273" s="35">
        <v>2020</v>
      </c>
      <c r="AH273" s="36">
        <v>2020</v>
      </c>
    </row>
    <row r="274" spans="1:46" ht="61.5" x14ac:dyDescent="0.85">
      <c r="B274" s="25" t="s">
        <v>869</v>
      </c>
      <c r="C274" s="25"/>
      <c r="D274" s="32">
        <f>SUM(D275:D280)</f>
        <v>35924336.760000005</v>
      </c>
      <c r="E274" s="32">
        <f t="shared" ref="E274:AE274" si="77">SUM(E275:E280)</f>
        <v>0</v>
      </c>
      <c r="F274" s="32">
        <f t="shared" si="77"/>
        <v>0</v>
      </c>
      <c r="G274" s="32">
        <f t="shared" si="77"/>
        <v>0</v>
      </c>
      <c r="H274" s="32">
        <f t="shared" si="77"/>
        <v>0</v>
      </c>
      <c r="I274" s="32">
        <f t="shared" si="77"/>
        <v>0</v>
      </c>
      <c r="J274" s="32">
        <f t="shared" si="77"/>
        <v>0</v>
      </c>
      <c r="K274" s="34">
        <f t="shared" si="77"/>
        <v>0</v>
      </c>
      <c r="L274" s="32">
        <f t="shared" si="77"/>
        <v>0</v>
      </c>
      <c r="M274" s="32">
        <f t="shared" si="77"/>
        <v>4893.1500000000005</v>
      </c>
      <c r="N274" s="32">
        <f t="shared" si="77"/>
        <v>25505425.520000003</v>
      </c>
      <c r="O274" s="32">
        <f t="shared" si="77"/>
        <v>0</v>
      </c>
      <c r="P274" s="32">
        <f t="shared" si="77"/>
        <v>0</v>
      </c>
      <c r="Q274" s="32">
        <f t="shared" si="77"/>
        <v>3931.93</v>
      </c>
      <c r="R274" s="32">
        <f t="shared" si="77"/>
        <v>9444659.9700000007</v>
      </c>
      <c r="S274" s="32">
        <f t="shared" si="77"/>
        <v>0</v>
      </c>
      <c r="T274" s="32">
        <f t="shared" si="77"/>
        <v>0</v>
      </c>
      <c r="U274" s="32">
        <f t="shared" si="77"/>
        <v>0</v>
      </c>
      <c r="V274" s="32">
        <f t="shared" si="77"/>
        <v>0</v>
      </c>
      <c r="W274" s="32">
        <f t="shared" si="77"/>
        <v>0</v>
      </c>
      <c r="X274" s="32">
        <f t="shared" si="77"/>
        <v>0</v>
      </c>
      <c r="Y274" s="32">
        <f t="shared" si="77"/>
        <v>0</v>
      </c>
      <c r="Z274" s="32">
        <f t="shared" si="77"/>
        <v>0</v>
      </c>
      <c r="AA274" s="32">
        <f t="shared" si="77"/>
        <v>0</v>
      </c>
      <c r="AB274" s="32">
        <f t="shared" si="77"/>
        <v>0</v>
      </c>
      <c r="AC274" s="32">
        <f t="shared" si="77"/>
        <v>524251.26999999996</v>
      </c>
      <c r="AD274" s="32">
        <f t="shared" si="77"/>
        <v>450000</v>
      </c>
      <c r="AE274" s="32">
        <f t="shared" si="77"/>
        <v>0</v>
      </c>
      <c r="AF274" s="77" t="s">
        <v>801</v>
      </c>
      <c r="AG274" s="77" t="s">
        <v>801</v>
      </c>
      <c r="AH274" s="107" t="s">
        <v>801</v>
      </c>
      <c r="AT274" s="21" t="e">
        <f>VLOOKUP(C274,AW:AX,2,FALSE)</f>
        <v>#N/A</v>
      </c>
    </row>
    <row r="275" spans="1:46" ht="61.5" x14ac:dyDescent="0.85">
      <c r="A275" s="21">
        <v>1</v>
      </c>
      <c r="B275" s="70">
        <f>SUBTOTAL(103,$A$22:A275)</f>
        <v>247</v>
      </c>
      <c r="C275" s="25" t="s">
        <v>695</v>
      </c>
      <c r="D275" s="32">
        <f t="shared" ref="D275:D279" si="78">E275+F275+G275+H275+I275+J275+L275+N275+P275+R275+T275+U275+V275+W275+X275+Y275+Z275+AA275+AB275+AC275+AD275+AE275</f>
        <v>3549468.85</v>
      </c>
      <c r="E275" s="37">
        <v>0</v>
      </c>
      <c r="F275" s="37">
        <v>0</v>
      </c>
      <c r="G275" s="37">
        <v>0</v>
      </c>
      <c r="H275" s="37">
        <v>0</v>
      </c>
      <c r="I275" s="37">
        <v>0</v>
      </c>
      <c r="J275" s="37">
        <v>0</v>
      </c>
      <c r="K275" s="34">
        <v>0</v>
      </c>
      <c r="L275" s="32">
        <v>0</v>
      </c>
      <c r="M275" s="32">
        <v>374</v>
      </c>
      <c r="N275" s="32">
        <v>1852654</v>
      </c>
      <c r="O275" s="38">
        <v>0</v>
      </c>
      <c r="P275" s="38">
        <v>0</v>
      </c>
      <c r="Q275" s="32">
        <v>470.68</v>
      </c>
      <c r="R275" s="32">
        <v>1526133.04</v>
      </c>
      <c r="S275" s="32">
        <v>0</v>
      </c>
      <c r="T275" s="32">
        <v>0</v>
      </c>
      <c r="U275" s="32">
        <v>0</v>
      </c>
      <c r="V275" s="32">
        <v>0</v>
      </c>
      <c r="W275" s="32">
        <v>0</v>
      </c>
      <c r="X275" s="32">
        <v>0</v>
      </c>
      <c r="Y275" s="32">
        <v>0</v>
      </c>
      <c r="Z275" s="32">
        <v>0</v>
      </c>
      <c r="AA275" s="32">
        <v>0</v>
      </c>
      <c r="AB275" s="32">
        <v>0</v>
      </c>
      <c r="AC275" s="32">
        <f>ROUND((N275+R275)*1.5%,2)</f>
        <v>50681.81</v>
      </c>
      <c r="AD275" s="32">
        <v>120000</v>
      </c>
      <c r="AE275" s="32">
        <v>0</v>
      </c>
      <c r="AF275" s="35">
        <v>2020</v>
      </c>
      <c r="AG275" s="35">
        <v>2020</v>
      </c>
      <c r="AH275" s="36">
        <v>2020</v>
      </c>
      <c r="AT275" s="21" t="e">
        <f>VLOOKUP(C275,AW:AX,2,FALSE)</f>
        <v>#N/A</v>
      </c>
    </row>
    <row r="276" spans="1:46" ht="61.5" x14ac:dyDescent="0.85">
      <c r="A276" s="21">
        <v>1</v>
      </c>
      <c r="B276" s="70">
        <f>SUBTOTAL(103,$A$22:A276)</f>
        <v>248</v>
      </c>
      <c r="C276" s="25" t="s">
        <v>689</v>
      </c>
      <c r="D276" s="32">
        <f t="shared" si="78"/>
        <v>3778176.65</v>
      </c>
      <c r="E276" s="37">
        <v>0</v>
      </c>
      <c r="F276" s="37">
        <v>0</v>
      </c>
      <c r="G276" s="37">
        <v>0</v>
      </c>
      <c r="H276" s="37">
        <v>0</v>
      </c>
      <c r="I276" s="37">
        <v>0</v>
      </c>
      <c r="J276" s="37">
        <v>0</v>
      </c>
      <c r="K276" s="34">
        <v>0</v>
      </c>
      <c r="L276" s="32">
        <v>0</v>
      </c>
      <c r="M276" s="32">
        <v>723.65</v>
      </c>
      <c r="N276" s="32">
        <v>3574558.28</v>
      </c>
      <c r="O276" s="37">
        <v>0</v>
      </c>
      <c r="P276" s="37">
        <v>0</v>
      </c>
      <c r="Q276" s="32">
        <v>0</v>
      </c>
      <c r="R276" s="32">
        <v>0</v>
      </c>
      <c r="S276" s="32">
        <v>0</v>
      </c>
      <c r="T276" s="32">
        <v>0</v>
      </c>
      <c r="U276" s="32">
        <v>0</v>
      </c>
      <c r="V276" s="32">
        <v>0</v>
      </c>
      <c r="W276" s="32">
        <v>0</v>
      </c>
      <c r="X276" s="32">
        <v>0</v>
      </c>
      <c r="Y276" s="32">
        <v>0</v>
      </c>
      <c r="Z276" s="32">
        <v>0</v>
      </c>
      <c r="AA276" s="32">
        <v>0</v>
      </c>
      <c r="AB276" s="32">
        <v>0</v>
      </c>
      <c r="AC276" s="32">
        <f t="shared" ref="AC276:AC278" si="79">ROUND(N276*1.5%,2)</f>
        <v>53618.37</v>
      </c>
      <c r="AD276" s="32">
        <v>150000</v>
      </c>
      <c r="AE276" s="32">
        <v>0</v>
      </c>
      <c r="AF276" s="35">
        <v>2020</v>
      </c>
      <c r="AG276" s="35">
        <v>2020</v>
      </c>
      <c r="AH276" s="36">
        <v>2020</v>
      </c>
      <c r="AT276" s="21" t="e">
        <f>VLOOKUP(C276,AW:AX,2,FALSE)</f>
        <v>#N/A</v>
      </c>
    </row>
    <row r="277" spans="1:46" ht="61.5" x14ac:dyDescent="0.85">
      <c r="A277" s="21">
        <v>1</v>
      </c>
      <c r="B277" s="70">
        <f>SUBTOTAL(103,$A$22:A277)</f>
        <v>249</v>
      </c>
      <c r="C277" s="25" t="s">
        <v>694</v>
      </c>
      <c r="D277" s="32">
        <f t="shared" si="78"/>
        <v>6011459.4000000004</v>
      </c>
      <c r="E277" s="37">
        <v>0</v>
      </c>
      <c r="F277" s="37">
        <v>0</v>
      </c>
      <c r="G277" s="37">
        <v>0</v>
      </c>
      <c r="H277" s="37">
        <v>0</v>
      </c>
      <c r="I277" s="37">
        <v>0</v>
      </c>
      <c r="J277" s="37">
        <v>0</v>
      </c>
      <c r="K277" s="34">
        <v>0</v>
      </c>
      <c r="L277" s="32">
        <v>0</v>
      </c>
      <c r="M277" s="32">
        <v>1151.4000000000001</v>
      </c>
      <c r="N277" s="32">
        <v>5745280.2000000002</v>
      </c>
      <c r="O277" s="37">
        <v>0</v>
      </c>
      <c r="P277" s="37">
        <v>0</v>
      </c>
      <c r="Q277" s="32">
        <v>0</v>
      </c>
      <c r="R277" s="32">
        <v>0</v>
      </c>
      <c r="S277" s="32">
        <v>0</v>
      </c>
      <c r="T277" s="32">
        <v>0</v>
      </c>
      <c r="U277" s="32">
        <v>0</v>
      </c>
      <c r="V277" s="32">
        <v>0</v>
      </c>
      <c r="W277" s="32">
        <v>0</v>
      </c>
      <c r="X277" s="32">
        <v>0</v>
      </c>
      <c r="Y277" s="32">
        <v>0</v>
      </c>
      <c r="Z277" s="32">
        <v>0</v>
      </c>
      <c r="AA277" s="32">
        <v>0</v>
      </c>
      <c r="AB277" s="32">
        <v>0</v>
      </c>
      <c r="AC277" s="32">
        <f t="shared" si="79"/>
        <v>86179.199999999997</v>
      </c>
      <c r="AD277" s="32">
        <v>180000</v>
      </c>
      <c r="AE277" s="32">
        <v>0</v>
      </c>
      <c r="AF277" s="35">
        <v>2020</v>
      </c>
      <c r="AG277" s="35">
        <v>2020</v>
      </c>
      <c r="AH277" s="36">
        <v>2020</v>
      </c>
      <c r="AT277" s="21" t="e">
        <f>VLOOKUP(C277,AW:AX,2,FALSE)</f>
        <v>#N/A</v>
      </c>
    </row>
    <row r="278" spans="1:46" ht="61.5" x14ac:dyDescent="0.85">
      <c r="A278" s="21">
        <v>1</v>
      </c>
      <c r="B278" s="70">
        <f>SUBTOTAL(103,$A$22:A278)</f>
        <v>250</v>
      </c>
      <c r="C278" s="25" t="s">
        <v>1285</v>
      </c>
      <c r="D278" s="32">
        <f t="shared" si="78"/>
        <v>4072403.42</v>
      </c>
      <c r="E278" s="37">
        <v>0</v>
      </c>
      <c r="F278" s="37">
        <v>0</v>
      </c>
      <c r="G278" s="37">
        <v>0</v>
      </c>
      <c r="H278" s="37">
        <v>0</v>
      </c>
      <c r="I278" s="37">
        <v>0</v>
      </c>
      <c r="J278" s="37">
        <v>0</v>
      </c>
      <c r="K278" s="34">
        <v>0</v>
      </c>
      <c r="L278" s="32">
        <v>0</v>
      </c>
      <c r="M278" s="32">
        <v>648.9</v>
      </c>
      <c r="N278" s="32">
        <v>4012220.12</v>
      </c>
      <c r="O278" s="37">
        <v>0</v>
      </c>
      <c r="P278" s="37">
        <v>0</v>
      </c>
      <c r="Q278" s="32">
        <v>0</v>
      </c>
      <c r="R278" s="32">
        <v>0</v>
      </c>
      <c r="S278" s="32">
        <v>0</v>
      </c>
      <c r="T278" s="32">
        <v>0</v>
      </c>
      <c r="U278" s="32">
        <v>0</v>
      </c>
      <c r="V278" s="32">
        <v>0</v>
      </c>
      <c r="W278" s="32">
        <v>0</v>
      </c>
      <c r="X278" s="32">
        <v>0</v>
      </c>
      <c r="Y278" s="32">
        <v>0</v>
      </c>
      <c r="Z278" s="32">
        <v>0</v>
      </c>
      <c r="AA278" s="32">
        <v>0</v>
      </c>
      <c r="AB278" s="32">
        <v>0</v>
      </c>
      <c r="AC278" s="32">
        <f t="shared" si="79"/>
        <v>60183.3</v>
      </c>
      <c r="AD278" s="32">
        <v>0</v>
      </c>
      <c r="AE278" s="32">
        <v>0</v>
      </c>
      <c r="AF278" s="35" t="s">
        <v>275</v>
      </c>
      <c r="AG278" s="35">
        <v>2020</v>
      </c>
      <c r="AH278" s="36">
        <v>2020</v>
      </c>
    </row>
    <row r="279" spans="1:46" ht="61.5" x14ac:dyDescent="0.85">
      <c r="A279" s="21">
        <v>1</v>
      </c>
      <c r="B279" s="70">
        <f>SUBTOTAL(103,$A$22:A279)</f>
        <v>251</v>
      </c>
      <c r="C279" s="25" t="s">
        <v>1286</v>
      </c>
      <c r="D279" s="32">
        <f t="shared" si="78"/>
        <v>8037304.830000001</v>
      </c>
      <c r="E279" s="37">
        <v>0</v>
      </c>
      <c r="F279" s="37">
        <v>0</v>
      </c>
      <c r="G279" s="37">
        <v>0</v>
      </c>
      <c r="H279" s="37">
        <v>0</v>
      </c>
      <c r="I279" s="37">
        <v>0</v>
      </c>
      <c r="J279" s="37">
        <v>0</v>
      </c>
      <c r="K279" s="34">
        <v>0</v>
      </c>
      <c r="L279" s="32">
        <v>0</v>
      </c>
      <c r="M279" s="32">
        <v>0</v>
      </c>
      <c r="N279" s="32">
        <v>0</v>
      </c>
      <c r="O279" s="37">
        <v>0</v>
      </c>
      <c r="P279" s="37">
        <v>0</v>
      </c>
      <c r="Q279" s="32">
        <v>3461.25</v>
      </c>
      <c r="R279" s="32">
        <f>6030335.94+1888190.99</f>
        <v>7918526.9300000006</v>
      </c>
      <c r="S279" s="32">
        <v>0</v>
      </c>
      <c r="T279" s="32">
        <v>0</v>
      </c>
      <c r="U279" s="32">
        <v>0</v>
      </c>
      <c r="V279" s="32">
        <v>0</v>
      </c>
      <c r="W279" s="32">
        <v>0</v>
      </c>
      <c r="X279" s="32">
        <v>0</v>
      </c>
      <c r="Y279" s="32">
        <v>0</v>
      </c>
      <c r="Z279" s="32">
        <v>0</v>
      </c>
      <c r="AA279" s="32">
        <v>0</v>
      </c>
      <c r="AB279" s="32">
        <v>0</v>
      </c>
      <c r="AC279" s="32">
        <f>ROUND(R279*1.5%,2)</f>
        <v>118777.9</v>
      </c>
      <c r="AD279" s="32">
        <v>0</v>
      </c>
      <c r="AE279" s="32">
        <v>0</v>
      </c>
      <c r="AF279" s="35" t="s">
        <v>275</v>
      </c>
      <c r="AG279" s="35">
        <v>2020</v>
      </c>
      <c r="AH279" s="36">
        <v>2020</v>
      </c>
    </row>
    <row r="280" spans="1:46" ht="61.5" x14ac:dyDescent="0.85">
      <c r="A280" s="21">
        <v>1</v>
      </c>
      <c r="B280" s="70">
        <f>SUBTOTAL(103,$A$22:A280)</f>
        <v>252</v>
      </c>
      <c r="C280" s="25" t="s">
        <v>1270</v>
      </c>
      <c r="D280" s="32">
        <f>E280+F280+G280+H280+I280+J280+L280+N280+P280+R280+T280+U280+V280+W280+X280+Y280+Z280+AA280+AB280+AC280+AD280+AE280</f>
        <v>10475523.609999999</v>
      </c>
      <c r="E280" s="37">
        <v>0</v>
      </c>
      <c r="F280" s="37">
        <v>0</v>
      </c>
      <c r="G280" s="37">
        <v>0</v>
      </c>
      <c r="H280" s="37">
        <v>0</v>
      </c>
      <c r="I280" s="37">
        <v>0</v>
      </c>
      <c r="J280" s="37">
        <v>0</v>
      </c>
      <c r="K280" s="34">
        <v>0</v>
      </c>
      <c r="L280" s="32">
        <v>0</v>
      </c>
      <c r="M280" s="32">
        <v>1995.2</v>
      </c>
      <c r="N280" s="32">
        <v>10320712.92</v>
      </c>
      <c r="O280" s="37">
        <v>0</v>
      </c>
      <c r="P280" s="37">
        <v>0</v>
      </c>
      <c r="Q280" s="32">
        <v>0</v>
      </c>
      <c r="R280" s="32">
        <v>0</v>
      </c>
      <c r="S280" s="32">
        <v>0</v>
      </c>
      <c r="T280" s="32">
        <v>0</v>
      </c>
      <c r="U280" s="32">
        <v>0</v>
      </c>
      <c r="V280" s="32">
        <v>0</v>
      </c>
      <c r="W280" s="32">
        <v>0</v>
      </c>
      <c r="X280" s="32">
        <v>0</v>
      </c>
      <c r="Y280" s="32">
        <v>0</v>
      </c>
      <c r="Z280" s="32">
        <v>0</v>
      </c>
      <c r="AA280" s="32">
        <v>0</v>
      </c>
      <c r="AB280" s="32">
        <v>0</v>
      </c>
      <c r="AC280" s="32">
        <f>ROUND(N280*1.5%,2)</f>
        <v>154810.69</v>
      </c>
      <c r="AD280" s="32">
        <v>0</v>
      </c>
      <c r="AE280" s="32">
        <v>0</v>
      </c>
      <c r="AF280" s="35" t="s">
        <v>275</v>
      </c>
      <c r="AG280" s="35">
        <v>2020</v>
      </c>
      <c r="AH280" s="36">
        <v>2020</v>
      </c>
    </row>
    <row r="281" spans="1:46" ht="61.5" x14ac:dyDescent="0.85">
      <c r="B281" s="25" t="s">
        <v>870</v>
      </c>
      <c r="C281" s="25"/>
      <c r="D281" s="32">
        <f>SUM(D282:D285)</f>
        <v>16213162.32</v>
      </c>
      <c r="E281" s="32">
        <f t="shared" ref="E281:AE281" si="80">SUM(E282:E285)</f>
        <v>0</v>
      </c>
      <c r="F281" s="32">
        <f t="shared" si="80"/>
        <v>568509.12</v>
      </c>
      <c r="G281" s="32">
        <f t="shared" si="80"/>
        <v>2465318.6100000003</v>
      </c>
      <c r="H281" s="32">
        <f t="shared" si="80"/>
        <v>345280.61</v>
      </c>
      <c r="I281" s="32">
        <f t="shared" si="80"/>
        <v>0</v>
      </c>
      <c r="J281" s="32">
        <f t="shared" si="80"/>
        <v>0</v>
      </c>
      <c r="K281" s="34">
        <f t="shared" si="80"/>
        <v>0</v>
      </c>
      <c r="L281" s="32">
        <f t="shared" si="80"/>
        <v>0</v>
      </c>
      <c r="M281" s="32">
        <f t="shared" si="80"/>
        <v>3198.9</v>
      </c>
      <c r="N281" s="32">
        <f t="shared" si="80"/>
        <v>12269327.440000001</v>
      </c>
      <c r="O281" s="32">
        <f t="shared" si="80"/>
        <v>0</v>
      </c>
      <c r="P281" s="32">
        <f t="shared" si="80"/>
        <v>0</v>
      </c>
      <c r="Q281" s="32">
        <f t="shared" si="80"/>
        <v>0</v>
      </c>
      <c r="R281" s="32">
        <f t="shared" si="80"/>
        <v>0</v>
      </c>
      <c r="S281" s="32">
        <f t="shared" si="80"/>
        <v>0</v>
      </c>
      <c r="T281" s="32">
        <f t="shared" si="80"/>
        <v>0</v>
      </c>
      <c r="U281" s="32">
        <f t="shared" si="80"/>
        <v>0</v>
      </c>
      <c r="V281" s="32">
        <f t="shared" si="80"/>
        <v>0</v>
      </c>
      <c r="W281" s="32">
        <f t="shared" si="80"/>
        <v>0</v>
      </c>
      <c r="X281" s="32">
        <f t="shared" si="80"/>
        <v>0</v>
      </c>
      <c r="Y281" s="32">
        <f t="shared" si="80"/>
        <v>0</v>
      </c>
      <c r="Z281" s="32">
        <f t="shared" si="80"/>
        <v>0</v>
      </c>
      <c r="AA281" s="32">
        <f t="shared" si="80"/>
        <v>0</v>
      </c>
      <c r="AB281" s="32">
        <f t="shared" si="80"/>
        <v>0</v>
      </c>
      <c r="AC281" s="32">
        <f t="shared" si="80"/>
        <v>234726.53999999998</v>
      </c>
      <c r="AD281" s="32">
        <f t="shared" si="80"/>
        <v>330000</v>
      </c>
      <c r="AE281" s="32">
        <f t="shared" si="80"/>
        <v>0</v>
      </c>
      <c r="AF281" s="77" t="s">
        <v>801</v>
      </c>
      <c r="AG281" s="77" t="s">
        <v>801</v>
      </c>
      <c r="AH281" s="107" t="s">
        <v>801</v>
      </c>
      <c r="AT281" s="21" t="e">
        <f>VLOOKUP(C281,AW:AX,2,FALSE)</f>
        <v>#N/A</v>
      </c>
    </row>
    <row r="282" spans="1:46" ht="61.5" x14ac:dyDescent="0.85">
      <c r="A282" s="21">
        <v>1</v>
      </c>
      <c r="B282" s="70">
        <f>SUBTOTAL(103,$A$22:A282)</f>
        <v>253</v>
      </c>
      <c r="C282" s="25" t="s">
        <v>699</v>
      </c>
      <c r="D282" s="32">
        <f t="shared" ref="D282:D284" si="81">E282+F282+G282+H282+I282+J282+L282+N282+P282+R282+T282+U282+V282+W282+X282+Y282+Z282+AA282+AB282+AC282+AD282+AE282</f>
        <v>6202548</v>
      </c>
      <c r="E282" s="37">
        <v>0</v>
      </c>
      <c r="F282" s="37">
        <v>0</v>
      </c>
      <c r="G282" s="37">
        <v>0</v>
      </c>
      <c r="H282" s="37">
        <v>0</v>
      </c>
      <c r="I282" s="37">
        <v>0</v>
      </c>
      <c r="J282" s="37">
        <v>0</v>
      </c>
      <c r="K282" s="34">
        <v>0</v>
      </c>
      <c r="L282" s="32">
        <v>0</v>
      </c>
      <c r="M282" s="32">
        <v>1188</v>
      </c>
      <c r="N282" s="32">
        <v>5933544.8300000001</v>
      </c>
      <c r="O282" s="37">
        <v>0</v>
      </c>
      <c r="P282" s="37">
        <v>0</v>
      </c>
      <c r="Q282" s="32">
        <v>0</v>
      </c>
      <c r="R282" s="32">
        <v>0</v>
      </c>
      <c r="S282" s="32">
        <v>0</v>
      </c>
      <c r="T282" s="32">
        <v>0</v>
      </c>
      <c r="U282" s="32">
        <v>0</v>
      </c>
      <c r="V282" s="32">
        <v>0</v>
      </c>
      <c r="W282" s="32">
        <v>0</v>
      </c>
      <c r="X282" s="32">
        <v>0</v>
      </c>
      <c r="Y282" s="32">
        <v>0</v>
      </c>
      <c r="Z282" s="32">
        <v>0</v>
      </c>
      <c r="AA282" s="32">
        <v>0</v>
      </c>
      <c r="AB282" s="32">
        <v>0</v>
      </c>
      <c r="AC282" s="32">
        <f>ROUND(N282*1.5%,2)</f>
        <v>89003.17</v>
      </c>
      <c r="AD282" s="32">
        <v>180000</v>
      </c>
      <c r="AE282" s="32">
        <v>0</v>
      </c>
      <c r="AF282" s="35">
        <v>2020</v>
      </c>
      <c r="AG282" s="35">
        <v>2020</v>
      </c>
      <c r="AH282" s="36">
        <v>2020</v>
      </c>
      <c r="AT282" s="21" t="e">
        <f>VLOOKUP(C282,AW:AX,2,FALSE)</f>
        <v>#N/A</v>
      </c>
    </row>
    <row r="283" spans="1:46" ht="61.5" x14ac:dyDescent="0.85">
      <c r="A283" s="21">
        <v>1</v>
      </c>
      <c r="B283" s="70">
        <f>SUBTOTAL(103,$A$22:A283)</f>
        <v>254</v>
      </c>
      <c r="C283" s="25" t="s">
        <v>696</v>
      </c>
      <c r="D283" s="32">
        <f t="shared" si="81"/>
        <v>3579794.97</v>
      </c>
      <c r="E283" s="39">
        <v>0</v>
      </c>
      <c r="F283" s="39">
        <v>568509.12</v>
      </c>
      <c r="G283" s="32">
        <f>3222357.41-757038.8</f>
        <v>2465318.6100000003</v>
      </c>
      <c r="H283" s="39">
        <v>345280.61</v>
      </c>
      <c r="I283" s="39">
        <v>0</v>
      </c>
      <c r="J283" s="39">
        <v>0</v>
      </c>
      <c r="K283" s="34">
        <v>0</v>
      </c>
      <c r="L283" s="32">
        <v>0</v>
      </c>
      <c r="M283" s="32">
        <v>0</v>
      </c>
      <c r="N283" s="32">
        <v>0</v>
      </c>
      <c r="O283" s="39">
        <v>0</v>
      </c>
      <c r="P283" s="39">
        <v>0</v>
      </c>
      <c r="Q283" s="32">
        <v>0</v>
      </c>
      <c r="R283" s="32">
        <v>0</v>
      </c>
      <c r="S283" s="32">
        <v>0</v>
      </c>
      <c r="T283" s="32">
        <v>0</v>
      </c>
      <c r="U283" s="32">
        <v>0</v>
      </c>
      <c r="V283" s="32">
        <v>0</v>
      </c>
      <c r="W283" s="32">
        <v>0</v>
      </c>
      <c r="X283" s="32">
        <v>0</v>
      </c>
      <c r="Y283" s="32">
        <v>0</v>
      </c>
      <c r="Z283" s="32">
        <v>0</v>
      </c>
      <c r="AA283" s="32">
        <v>0</v>
      </c>
      <c r="AB283" s="32">
        <v>0</v>
      </c>
      <c r="AC283" s="32">
        <f>ROUND((E283+F283+G283+H283+I283+J283)*1.5%,2)</f>
        <v>50686.63</v>
      </c>
      <c r="AD283" s="32">
        <v>150000</v>
      </c>
      <c r="AE283" s="32">
        <v>0</v>
      </c>
      <c r="AF283" s="35">
        <v>2020</v>
      </c>
      <c r="AG283" s="35">
        <v>2020</v>
      </c>
      <c r="AH283" s="36">
        <v>2020</v>
      </c>
      <c r="AT283" s="21" t="e">
        <f>VLOOKUP(C283,AW:AX,2,FALSE)</f>
        <v>#N/A</v>
      </c>
    </row>
    <row r="284" spans="1:46" ht="61.5" x14ac:dyDescent="0.85">
      <c r="A284" s="21">
        <v>1</v>
      </c>
      <c r="B284" s="70">
        <f>SUBTOTAL(103,$A$22:A284)</f>
        <v>255</v>
      </c>
      <c r="C284" s="25" t="s">
        <v>1287</v>
      </c>
      <c r="D284" s="32">
        <f t="shared" si="81"/>
        <v>3650965.3</v>
      </c>
      <c r="E284" s="37">
        <v>0</v>
      </c>
      <c r="F284" s="37">
        <v>0</v>
      </c>
      <c r="G284" s="37">
        <v>0</v>
      </c>
      <c r="H284" s="37">
        <v>0</v>
      </c>
      <c r="I284" s="37">
        <v>0</v>
      </c>
      <c r="J284" s="37">
        <v>0</v>
      </c>
      <c r="K284" s="34">
        <v>0</v>
      </c>
      <c r="L284" s="32">
        <v>0</v>
      </c>
      <c r="M284" s="32">
        <v>855</v>
      </c>
      <c r="N284" s="32">
        <v>3597010.15</v>
      </c>
      <c r="O284" s="37">
        <v>0</v>
      </c>
      <c r="P284" s="37">
        <v>0</v>
      </c>
      <c r="Q284" s="32">
        <v>0</v>
      </c>
      <c r="R284" s="32">
        <v>0</v>
      </c>
      <c r="S284" s="32">
        <v>0</v>
      </c>
      <c r="T284" s="32">
        <v>0</v>
      </c>
      <c r="U284" s="32">
        <v>0</v>
      </c>
      <c r="V284" s="32">
        <v>0</v>
      </c>
      <c r="W284" s="32">
        <v>0</v>
      </c>
      <c r="X284" s="32">
        <v>0</v>
      </c>
      <c r="Y284" s="32">
        <v>0</v>
      </c>
      <c r="Z284" s="32">
        <v>0</v>
      </c>
      <c r="AA284" s="32">
        <v>0</v>
      </c>
      <c r="AB284" s="32">
        <v>0</v>
      </c>
      <c r="AC284" s="32">
        <f>ROUND(N284*1.5%,2)</f>
        <v>53955.15</v>
      </c>
      <c r="AD284" s="32">
        <v>0</v>
      </c>
      <c r="AE284" s="32">
        <v>0</v>
      </c>
      <c r="AF284" s="35" t="s">
        <v>275</v>
      </c>
      <c r="AG284" s="35">
        <v>2020</v>
      </c>
      <c r="AH284" s="36">
        <v>2020</v>
      </c>
    </row>
    <row r="285" spans="1:46" ht="61.5" x14ac:dyDescent="0.85">
      <c r="A285" s="21">
        <v>1</v>
      </c>
      <c r="B285" s="70">
        <f>SUBTOTAL(103,$A$22:A285)</f>
        <v>256</v>
      </c>
      <c r="C285" s="25" t="s">
        <v>1272</v>
      </c>
      <c r="D285" s="32">
        <f>E285+F285+G285+H285+I285+J285+L285+N285+P285+R285+T285+U285+V285+W285+X285+Y285+Z285+AA285+AB285+AC285+AD285+AE285</f>
        <v>2779854.05</v>
      </c>
      <c r="E285" s="37">
        <v>0</v>
      </c>
      <c r="F285" s="37">
        <v>0</v>
      </c>
      <c r="G285" s="37">
        <v>0</v>
      </c>
      <c r="H285" s="37">
        <v>0</v>
      </c>
      <c r="I285" s="37">
        <v>0</v>
      </c>
      <c r="J285" s="37">
        <v>0</v>
      </c>
      <c r="K285" s="34">
        <v>0</v>
      </c>
      <c r="L285" s="32">
        <v>0</v>
      </c>
      <c r="M285" s="32">
        <v>1155.9000000000001</v>
      </c>
      <c r="N285" s="32">
        <v>2738772.46</v>
      </c>
      <c r="O285" s="37">
        <v>0</v>
      </c>
      <c r="P285" s="37">
        <v>0</v>
      </c>
      <c r="Q285" s="32">
        <v>0</v>
      </c>
      <c r="R285" s="32">
        <v>0</v>
      </c>
      <c r="S285" s="32">
        <v>0</v>
      </c>
      <c r="T285" s="32">
        <v>0</v>
      </c>
      <c r="U285" s="32">
        <v>0</v>
      </c>
      <c r="V285" s="32">
        <v>0</v>
      </c>
      <c r="W285" s="32">
        <v>0</v>
      </c>
      <c r="X285" s="32">
        <v>0</v>
      </c>
      <c r="Y285" s="32">
        <v>0</v>
      </c>
      <c r="Z285" s="32">
        <v>0</v>
      </c>
      <c r="AA285" s="32">
        <v>0</v>
      </c>
      <c r="AB285" s="32">
        <v>0</v>
      </c>
      <c r="AC285" s="32">
        <f>ROUND(N285*1.5%,2)</f>
        <v>41081.589999999997</v>
      </c>
      <c r="AD285" s="32">
        <v>0</v>
      </c>
      <c r="AE285" s="32">
        <v>0</v>
      </c>
      <c r="AF285" s="35" t="s">
        <v>275</v>
      </c>
      <c r="AG285" s="35">
        <v>2020</v>
      </c>
      <c r="AH285" s="36">
        <v>2020</v>
      </c>
    </row>
    <row r="286" spans="1:46" ht="61.5" x14ac:dyDescent="0.85">
      <c r="B286" s="25" t="s">
        <v>1373</v>
      </c>
      <c r="C286" s="25"/>
      <c r="D286" s="32">
        <f>D287</f>
        <v>509455.14</v>
      </c>
      <c r="E286" s="32">
        <f t="shared" ref="E286:AE286" si="82">E287</f>
        <v>0</v>
      </c>
      <c r="F286" s="32">
        <f t="shared" si="82"/>
        <v>0</v>
      </c>
      <c r="G286" s="32">
        <f t="shared" si="82"/>
        <v>0</v>
      </c>
      <c r="H286" s="32">
        <f t="shared" si="82"/>
        <v>0</v>
      </c>
      <c r="I286" s="32">
        <f t="shared" si="82"/>
        <v>0</v>
      </c>
      <c r="J286" s="32">
        <f t="shared" si="82"/>
        <v>0</v>
      </c>
      <c r="K286" s="34">
        <f t="shared" si="82"/>
        <v>0</v>
      </c>
      <c r="L286" s="32">
        <f t="shared" si="82"/>
        <v>0</v>
      </c>
      <c r="M286" s="32">
        <f t="shared" si="82"/>
        <v>0</v>
      </c>
      <c r="N286" s="32">
        <f t="shared" si="82"/>
        <v>0</v>
      </c>
      <c r="O286" s="32">
        <f t="shared" si="82"/>
        <v>0</v>
      </c>
      <c r="P286" s="32">
        <f t="shared" si="82"/>
        <v>0</v>
      </c>
      <c r="Q286" s="32">
        <f t="shared" si="82"/>
        <v>0</v>
      </c>
      <c r="R286" s="32">
        <f t="shared" si="82"/>
        <v>0</v>
      </c>
      <c r="S286" s="32">
        <f t="shared" si="82"/>
        <v>0</v>
      </c>
      <c r="T286" s="32">
        <f t="shared" si="82"/>
        <v>0</v>
      </c>
      <c r="U286" s="32">
        <f t="shared" si="82"/>
        <v>0</v>
      </c>
      <c r="V286" s="32">
        <f t="shared" si="82"/>
        <v>501926.25</v>
      </c>
      <c r="W286" s="32">
        <f t="shared" si="82"/>
        <v>0</v>
      </c>
      <c r="X286" s="32">
        <f t="shared" si="82"/>
        <v>0</v>
      </c>
      <c r="Y286" s="32">
        <f t="shared" si="82"/>
        <v>0</v>
      </c>
      <c r="Z286" s="32">
        <f t="shared" si="82"/>
        <v>0</v>
      </c>
      <c r="AA286" s="32">
        <f t="shared" si="82"/>
        <v>0</v>
      </c>
      <c r="AB286" s="32">
        <f t="shared" si="82"/>
        <v>0</v>
      </c>
      <c r="AC286" s="32">
        <f t="shared" si="82"/>
        <v>7528.89</v>
      </c>
      <c r="AD286" s="32">
        <f t="shared" si="82"/>
        <v>0</v>
      </c>
      <c r="AE286" s="32">
        <f t="shared" si="82"/>
        <v>0</v>
      </c>
      <c r="AF286" s="77" t="s">
        <v>801</v>
      </c>
      <c r="AG286" s="77" t="s">
        <v>801</v>
      </c>
      <c r="AH286" s="107" t="s">
        <v>801</v>
      </c>
    </row>
    <row r="287" spans="1:46" ht="61.5" x14ac:dyDescent="0.85">
      <c r="A287" s="21">
        <v>1</v>
      </c>
      <c r="B287" s="70">
        <f>SUBTOTAL(103,$A$22:A287)</f>
        <v>257</v>
      </c>
      <c r="C287" s="25" t="s">
        <v>1271</v>
      </c>
      <c r="D287" s="32">
        <f>E287+F287+G287+H287+I287+J287+L287+N287+P287+R287+T287+U287+V287+W287+X287+Y287+Z287+AA287+AB287+AC287+AD287+AE287</f>
        <v>509455.14</v>
      </c>
      <c r="E287" s="37">
        <v>0</v>
      </c>
      <c r="F287" s="37">
        <v>0</v>
      </c>
      <c r="G287" s="37">
        <v>0</v>
      </c>
      <c r="H287" s="37">
        <v>0</v>
      </c>
      <c r="I287" s="37">
        <v>0</v>
      </c>
      <c r="J287" s="37">
        <v>0</v>
      </c>
      <c r="K287" s="34">
        <v>0</v>
      </c>
      <c r="L287" s="32">
        <v>0</v>
      </c>
      <c r="M287" s="32">
        <v>0</v>
      </c>
      <c r="N287" s="32">
        <v>0</v>
      </c>
      <c r="O287" s="37">
        <v>0</v>
      </c>
      <c r="P287" s="37">
        <v>0</v>
      </c>
      <c r="Q287" s="32">
        <v>0</v>
      </c>
      <c r="R287" s="32">
        <v>0</v>
      </c>
      <c r="S287" s="32">
        <v>0</v>
      </c>
      <c r="T287" s="32">
        <v>0</v>
      </c>
      <c r="U287" s="32">
        <v>0</v>
      </c>
      <c r="V287" s="32">
        <f>351650.11+150302.12-25.98</f>
        <v>501926.25</v>
      </c>
      <c r="W287" s="32">
        <v>0</v>
      </c>
      <c r="X287" s="32">
        <v>0</v>
      </c>
      <c r="Y287" s="32">
        <v>0</v>
      </c>
      <c r="Z287" s="32">
        <v>0</v>
      </c>
      <c r="AA287" s="32">
        <v>0</v>
      </c>
      <c r="AB287" s="32">
        <v>0</v>
      </c>
      <c r="AC287" s="32">
        <f>ROUND(V287*1.5%,2)</f>
        <v>7528.89</v>
      </c>
      <c r="AD287" s="32">
        <v>0</v>
      </c>
      <c r="AE287" s="32">
        <v>0</v>
      </c>
      <c r="AF287" s="35" t="s">
        <v>275</v>
      </c>
      <c r="AG287" s="35">
        <v>2020</v>
      </c>
      <c r="AH287" s="36">
        <v>2020</v>
      </c>
    </row>
    <row r="288" spans="1:46" ht="61.5" x14ac:dyDescent="0.85">
      <c r="B288" s="25" t="s">
        <v>871</v>
      </c>
      <c r="C288" s="110"/>
      <c r="D288" s="32">
        <f>SUM(D289:D290)</f>
        <v>4817952.709999999</v>
      </c>
      <c r="E288" s="32">
        <f t="shared" ref="E288:AE288" si="83">SUM(E289:E290)</f>
        <v>0</v>
      </c>
      <c r="F288" s="32">
        <f t="shared" si="83"/>
        <v>0</v>
      </c>
      <c r="G288" s="32">
        <f t="shared" si="83"/>
        <v>0</v>
      </c>
      <c r="H288" s="32">
        <f t="shared" si="83"/>
        <v>0</v>
      </c>
      <c r="I288" s="32">
        <f t="shared" si="83"/>
        <v>0</v>
      </c>
      <c r="J288" s="32">
        <f t="shared" si="83"/>
        <v>0</v>
      </c>
      <c r="K288" s="34">
        <f t="shared" si="83"/>
        <v>0</v>
      </c>
      <c r="L288" s="32">
        <f t="shared" si="83"/>
        <v>0</v>
      </c>
      <c r="M288" s="32">
        <f t="shared" si="83"/>
        <v>1034</v>
      </c>
      <c r="N288" s="32">
        <f t="shared" si="83"/>
        <v>4480741.59</v>
      </c>
      <c r="O288" s="32">
        <f t="shared" si="83"/>
        <v>0</v>
      </c>
      <c r="P288" s="32">
        <f t="shared" si="83"/>
        <v>0</v>
      </c>
      <c r="Q288" s="32">
        <f t="shared" si="83"/>
        <v>0</v>
      </c>
      <c r="R288" s="32">
        <f t="shared" si="83"/>
        <v>0</v>
      </c>
      <c r="S288" s="32">
        <f t="shared" si="83"/>
        <v>0</v>
      </c>
      <c r="T288" s="32">
        <f t="shared" si="83"/>
        <v>0</v>
      </c>
      <c r="U288" s="32">
        <f t="shared" si="83"/>
        <v>0</v>
      </c>
      <c r="V288" s="32">
        <f t="shared" si="83"/>
        <v>0</v>
      </c>
      <c r="W288" s="32">
        <f t="shared" si="83"/>
        <v>0</v>
      </c>
      <c r="X288" s="32">
        <f t="shared" si="83"/>
        <v>0</v>
      </c>
      <c r="Y288" s="32">
        <f t="shared" si="83"/>
        <v>0</v>
      </c>
      <c r="Z288" s="32">
        <f t="shared" si="83"/>
        <v>0</v>
      </c>
      <c r="AA288" s="32">
        <f t="shared" si="83"/>
        <v>0</v>
      </c>
      <c r="AB288" s="32">
        <f t="shared" si="83"/>
        <v>0</v>
      </c>
      <c r="AC288" s="32">
        <f t="shared" si="83"/>
        <v>67211.12</v>
      </c>
      <c r="AD288" s="32">
        <f t="shared" si="83"/>
        <v>270000</v>
      </c>
      <c r="AE288" s="32">
        <f t="shared" si="83"/>
        <v>0</v>
      </c>
      <c r="AF288" s="77" t="s">
        <v>801</v>
      </c>
      <c r="AG288" s="77" t="s">
        <v>801</v>
      </c>
      <c r="AH288" s="107" t="s">
        <v>801</v>
      </c>
      <c r="AT288" s="21" t="e">
        <f>VLOOKUP(C288,AW:AX,2,FALSE)</f>
        <v>#N/A</v>
      </c>
    </row>
    <row r="289" spans="1:46" ht="61.5" x14ac:dyDescent="0.85">
      <c r="A289" s="21">
        <v>1</v>
      </c>
      <c r="B289" s="70">
        <f>SUBTOTAL(103,$A$22:A289)</f>
        <v>258</v>
      </c>
      <c r="C289" s="25" t="s">
        <v>724</v>
      </c>
      <c r="D289" s="32">
        <f t="shared" ref="D289:D290" si="84">E289+F289+G289+H289+I289+J289+L289+N289+P289+R289+T289+U289+V289+W289+X289+Y289+Z289+AA289+AB289+AC289+AD289+AE289</f>
        <v>4222742.4399999995</v>
      </c>
      <c r="E289" s="39">
        <v>0</v>
      </c>
      <c r="F289" s="39">
        <v>0</v>
      </c>
      <c r="G289" s="32">
        <v>0</v>
      </c>
      <c r="H289" s="39">
        <v>0</v>
      </c>
      <c r="I289" s="39">
        <v>0</v>
      </c>
      <c r="J289" s="39">
        <v>0</v>
      </c>
      <c r="K289" s="34">
        <v>0</v>
      </c>
      <c r="L289" s="32">
        <v>0</v>
      </c>
      <c r="M289" s="32">
        <v>867</v>
      </c>
      <c r="N289" s="32">
        <f>3341068.44+671485.69</f>
        <v>4012554.13</v>
      </c>
      <c r="O289" s="39">
        <v>0</v>
      </c>
      <c r="P289" s="39">
        <v>0</v>
      </c>
      <c r="Q289" s="32">
        <v>0</v>
      </c>
      <c r="R289" s="32">
        <v>0</v>
      </c>
      <c r="S289" s="32">
        <v>0</v>
      </c>
      <c r="T289" s="32">
        <v>0</v>
      </c>
      <c r="U289" s="32">
        <v>0</v>
      </c>
      <c r="V289" s="32">
        <v>0</v>
      </c>
      <c r="W289" s="32">
        <v>0</v>
      </c>
      <c r="X289" s="32">
        <v>0</v>
      </c>
      <c r="Y289" s="32">
        <v>0</v>
      </c>
      <c r="Z289" s="32">
        <v>0</v>
      </c>
      <c r="AA289" s="32">
        <v>0</v>
      </c>
      <c r="AB289" s="32">
        <v>0</v>
      </c>
      <c r="AC289" s="32">
        <f t="shared" ref="AC289:AC290" si="85">ROUND(N289*1.5%,2)</f>
        <v>60188.31</v>
      </c>
      <c r="AD289" s="32">
        <v>150000</v>
      </c>
      <c r="AE289" s="32">
        <v>0</v>
      </c>
      <c r="AF289" s="35">
        <v>2020</v>
      </c>
      <c r="AG289" s="35">
        <v>2020</v>
      </c>
      <c r="AH289" s="36">
        <v>2020</v>
      </c>
      <c r="AT289" s="21" t="e">
        <f>VLOOKUP(C289,AW:AX,2,FALSE)</f>
        <v>#N/A</v>
      </c>
    </row>
    <row r="290" spans="1:46" ht="61.5" x14ac:dyDescent="0.85">
      <c r="A290" s="21">
        <v>1</v>
      </c>
      <c r="B290" s="70">
        <f>SUBTOTAL(103,$A$22:A290)</f>
        <v>259</v>
      </c>
      <c r="C290" s="25" t="s">
        <v>722</v>
      </c>
      <c r="D290" s="32">
        <f t="shared" si="84"/>
        <v>595210.27</v>
      </c>
      <c r="E290" s="39">
        <v>0</v>
      </c>
      <c r="F290" s="39">
        <v>0</v>
      </c>
      <c r="G290" s="32">
        <v>0</v>
      </c>
      <c r="H290" s="39">
        <v>0</v>
      </c>
      <c r="I290" s="39">
        <v>0</v>
      </c>
      <c r="J290" s="39">
        <v>0</v>
      </c>
      <c r="K290" s="34">
        <v>0</v>
      </c>
      <c r="L290" s="32">
        <v>0</v>
      </c>
      <c r="M290" s="32">
        <v>167</v>
      </c>
      <c r="N290" s="32">
        <v>468187.46</v>
      </c>
      <c r="O290" s="39">
        <v>0</v>
      </c>
      <c r="P290" s="39">
        <v>0</v>
      </c>
      <c r="Q290" s="32">
        <v>0</v>
      </c>
      <c r="R290" s="32">
        <v>0</v>
      </c>
      <c r="S290" s="32">
        <v>0</v>
      </c>
      <c r="T290" s="32">
        <v>0</v>
      </c>
      <c r="U290" s="32">
        <v>0</v>
      </c>
      <c r="V290" s="32">
        <v>0</v>
      </c>
      <c r="W290" s="32">
        <v>0</v>
      </c>
      <c r="X290" s="32">
        <v>0</v>
      </c>
      <c r="Y290" s="32">
        <v>0</v>
      </c>
      <c r="Z290" s="32">
        <v>0</v>
      </c>
      <c r="AA290" s="32">
        <v>0</v>
      </c>
      <c r="AB290" s="32">
        <v>0</v>
      </c>
      <c r="AC290" s="32">
        <f t="shared" si="85"/>
        <v>7022.81</v>
      </c>
      <c r="AD290" s="32">
        <v>120000</v>
      </c>
      <c r="AE290" s="32">
        <v>0</v>
      </c>
      <c r="AF290" s="35">
        <v>2020</v>
      </c>
      <c r="AG290" s="35">
        <v>2020</v>
      </c>
      <c r="AH290" s="36">
        <v>2020</v>
      </c>
      <c r="AT290" s="21" t="e">
        <f>VLOOKUP(C290,AW:AX,2,FALSE)</f>
        <v>#N/A</v>
      </c>
    </row>
    <row r="291" spans="1:46" ht="61.5" x14ac:dyDescent="0.85">
      <c r="B291" s="25" t="s">
        <v>872</v>
      </c>
      <c r="C291" s="25"/>
      <c r="D291" s="32">
        <f>SUM(D292:D296)</f>
        <v>13474518.75</v>
      </c>
      <c r="E291" s="32">
        <f t="shared" ref="E291:AE291" si="86">SUM(E292:E296)</f>
        <v>154554.67000000001</v>
      </c>
      <c r="F291" s="32">
        <f t="shared" si="86"/>
        <v>0</v>
      </c>
      <c r="G291" s="32">
        <f t="shared" si="86"/>
        <v>666330.31000000006</v>
      </c>
      <c r="H291" s="32">
        <f t="shared" si="86"/>
        <v>250573.85</v>
      </c>
      <c r="I291" s="32">
        <f t="shared" si="86"/>
        <v>0</v>
      </c>
      <c r="J291" s="32">
        <f t="shared" si="86"/>
        <v>0</v>
      </c>
      <c r="K291" s="34">
        <f t="shared" si="86"/>
        <v>0</v>
      </c>
      <c r="L291" s="32">
        <f t="shared" si="86"/>
        <v>0</v>
      </c>
      <c r="M291" s="32">
        <f t="shared" si="86"/>
        <v>0</v>
      </c>
      <c r="N291" s="32">
        <f t="shared" si="86"/>
        <v>0</v>
      </c>
      <c r="O291" s="32">
        <f t="shared" si="86"/>
        <v>339.3</v>
      </c>
      <c r="P291" s="32">
        <f t="shared" si="86"/>
        <v>3414090.48</v>
      </c>
      <c r="Q291" s="32">
        <f t="shared" si="86"/>
        <v>1907.2</v>
      </c>
      <c r="R291" s="32">
        <f t="shared" si="86"/>
        <v>8686047.7799999993</v>
      </c>
      <c r="S291" s="32">
        <f t="shared" si="86"/>
        <v>0</v>
      </c>
      <c r="T291" s="32">
        <f t="shared" si="86"/>
        <v>0</v>
      </c>
      <c r="U291" s="32">
        <f t="shared" si="86"/>
        <v>0</v>
      </c>
      <c r="V291" s="32">
        <f t="shared" si="86"/>
        <v>0</v>
      </c>
      <c r="W291" s="32">
        <f t="shared" si="86"/>
        <v>0</v>
      </c>
      <c r="X291" s="32">
        <f t="shared" si="86"/>
        <v>0</v>
      </c>
      <c r="Y291" s="32">
        <f t="shared" si="86"/>
        <v>0</v>
      </c>
      <c r="Z291" s="32">
        <f t="shared" si="86"/>
        <v>0</v>
      </c>
      <c r="AA291" s="32">
        <f t="shared" si="86"/>
        <v>0</v>
      </c>
      <c r="AB291" s="32">
        <f t="shared" si="86"/>
        <v>0</v>
      </c>
      <c r="AC291" s="32">
        <f t="shared" si="86"/>
        <v>196743.94</v>
      </c>
      <c r="AD291" s="32">
        <f t="shared" si="86"/>
        <v>106177.72</v>
      </c>
      <c r="AE291" s="32">
        <f t="shared" si="86"/>
        <v>0</v>
      </c>
      <c r="AF291" s="77" t="s">
        <v>801</v>
      </c>
      <c r="AG291" s="77" t="s">
        <v>801</v>
      </c>
      <c r="AH291" s="107" t="s">
        <v>801</v>
      </c>
      <c r="AT291" s="21" t="e">
        <f>VLOOKUP(C291,AW:AX,2,FALSE)</f>
        <v>#N/A</v>
      </c>
    </row>
    <row r="292" spans="1:46" ht="61.5" x14ac:dyDescent="0.85">
      <c r="A292" s="21">
        <v>1</v>
      </c>
      <c r="B292" s="70">
        <f>SUBTOTAL(103,$A$22:A292)</f>
        <v>260</v>
      </c>
      <c r="C292" s="25" t="s">
        <v>738</v>
      </c>
      <c r="D292" s="32">
        <f t="shared" ref="D292:D296" si="87">E292+F292+G292+H292+I292+J292+L292+N292+P292+R292+T292+U292+V292+W292+X292+Y292+Z292+AA292+AB292+AC292+AD292+AE292</f>
        <v>2242518.08</v>
      </c>
      <c r="E292" s="39">
        <v>0</v>
      </c>
      <c r="F292" s="39">
        <v>0</v>
      </c>
      <c r="G292" s="32">
        <v>0</v>
      </c>
      <c r="H292" s="39">
        <v>0</v>
      </c>
      <c r="I292" s="39">
        <v>0</v>
      </c>
      <c r="J292" s="39">
        <v>0</v>
      </c>
      <c r="K292" s="34">
        <v>0</v>
      </c>
      <c r="L292" s="32">
        <v>0</v>
      </c>
      <c r="M292" s="32">
        <v>0</v>
      </c>
      <c r="N292" s="32">
        <v>0</v>
      </c>
      <c r="O292" s="39">
        <v>0</v>
      </c>
      <c r="P292" s="39">
        <v>0</v>
      </c>
      <c r="Q292" s="32">
        <v>607.29999999999995</v>
      </c>
      <c r="R292" s="32">
        <v>2104768.83</v>
      </c>
      <c r="S292" s="32">
        <v>0</v>
      </c>
      <c r="T292" s="32">
        <v>0</v>
      </c>
      <c r="U292" s="32">
        <v>0</v>
      </c>
      <c r="V292" s="32">
        <v>0</v>
      </c>
      <c r="W292" s="32">
        <v>0</v>
      </c>
      <c r="X292" s="32">
        <v>0</v>
      </c>
      <c r="Y292" s="32">
        <v>0</v>
      </c>
      <c r="Z292" s="32">
        <v>0</v>
      </c>
      <c r="AA292" s="32">
        <v>0</v>
      </c>
      <c r="AB292" s="32">
        <v>0</v>
      </c>
      <c r="AC292" s="32">
        <f t="shared" ref="AC292" si="88">ROUND(R292*1.5%,2)</f>
        <v>31571.53</v>
      </c>
      <c r="AD292" s="32">
        <v>106177.72</v>
      </c>
      <c r="AE292" s="32">
        <v>0</v>
      </c>
      <c r="AF292" s="35">
        <v>2020</v>
      </c>
      <c r="AG292" s="35">
        <v>2020</v>
      </c>
      <c r="AH292" s="36">
        <v>2020</v>
      </c>
      <c r="AT292" s="21" t="e">
        <f>VLOOKUP(C292,AW:AX,2,FALSE)</f>
        <v>#N/A</v>
      </c>
    </row>
    <row r="293" spans="1:46" ht="61.5" x14ac:dyDescent="0.85">
      <c r="A293" s="21">
        <v>1</v>
      </c>
      <c r="B293" s="70">
        <f>SUBTOTAL(103,$A$22:A293)</f>
        <v>261</v>
      </c>
      <c r="C293" s="25" t="s">
        <v>1290</v>
      </c>
      <c r="D293" s="32">
        <f t="shared" si="87"/>
        <v>3342143.64</v>
      </c>
      <c r="E293" s="39">
        <v>0</v>
      </c>
      <c r="F293" s="39">
        <v>0</v>
      </c>
      <c r="G293" s="32">
        <v>0</v>
      </c>
      <c r="H293" s="39">
        <v>0</v>
      </c>
      <c r="I293" s="39">
        <v>0</v>
      </c>
      <c r="J293" s="39">
        <v>0</v>
      </c>
      <c r="K293" s="34">
        <v>0</v>
      </c>
      <c r="L293" s="32">
        <v>0</v>
      </c>
      <c r="M293" s="32">
        <v>0</v>
      </c>
      <c r="N293" s="32">
        <v>0</v>
      </c>
      <c r="O293" s="39">
        <v>0</v>
      </c>
      <c r="P293" s="39">
        <v>0</v>
      </c>
      <c r="Q293" s="32">
        <v>647.20000000000005</v>
      </c>
      <c r="R293" s="32">
        <v>3292995.68</v>
      </c>
      <c r="S293" s="32">
        <v>0</v>
      </c>
      <c r="T293" s="32">
        <v>0</v>
      </c>
      <c r="U293" s="32">
        <v>0</v>
      </c>
      <c r="V293" s="32">
        <v>0</v>
      </c>
      <c r="W293" s="32">
        <v>0</v>
      </c>
      <c r="X293" s="32">
        <v>0</v>
      </c>
      <c r="Y293" s="32">
        <v>0</v>
      </c>
      <c r="Z293" s="32">
        <v>0</v>
      </c>
      <c r="AA293" s="32">
        <v>0</v>
      </c>
      <c r="AB293" s="32">
        <v>0</v>
      </c>
      <c r="AC293" s="32">
        <f>ROUND(R293*1.4925%,2)</f>
        <v>49147.96</v>
      </c>
      <c r="AD293" s="32">
        <v>0</v>
      </c>
      <c r="AE293" s="32">
        <v>0</v>
      </c>
      <c r="AF293" s="35" t="s">
        <v>275</v>
      </c>
      <c r="AG293" s="35">
        <v>2020</v>
      </c>
      <c r="AH293" s="36">
        <v>2020</v>
      </c>
    </row>
    <row r="294" spans="1:46" ht="61.5" x14ac:dyDescent="0.85">
      <c r="A294" s="21">
        <v>1</v>
      </c>
      <c r="B294" s="70">
        <f>SUBTOTAL(103,$A$22:A294)</f>
        <v>262</v>
      </c>
      <c r="C294" s="25" t="s">
        <v>1291</v>
      </c>
      <c r="D294" s="32">
        <f t="shared" si="87"/>
        <v>3337360.9</v>
      </c>
      <c r="E294" s="39">
        <v>0</v>
      </c>
      <c r="F294" s="39">
        <v>0</v>
      </c>
      <c r="G294" s="32">
        <v>0</v>
      </c>
      <c r="H294" s="39">
        <v>0</v>
      </c>
      <c r="I294" s="39">
        <v>0</v>
      </c>
      <c r="J294" s="39">
        <v>0</v>
      </c>
      <c r="K294" s="34">
        <v>0</v>
      </c>
      <c r="L294" s="32">
        <v>0</v>
      </c>
      <c r="M294" s="32">
        <v>0</v>
      </c>
      <c r="N294" s="32">
        <v>0</v>
      </c>
      <c r="O294" s="39">
        <v>0</v>
      </c>
      <c r="P294" s="39">
        <v>0</v>
      </c>
      <c r="Q294" s="32">
        <v>652.70000000000005</v>
      </c>
      <c r="R294" s="32">
        <v>3288283.27</v>
      </c>
      <c r="S294" s="32">
        <v>0</v>
      </c>
      <c r="T294" s="32">
        <v>0</v>
      </c>
      <c r="U294" s="32">
        <v>0</v>
      </c>
      <c r="V294" s="32">
        <v>0</v>
      </c>
      <c r="W294" s="32">
        <v>0</v>
      </c>
      <c r="X294" s="32">
        <v>0</v>
      </c>
      <c r="Y294" s="32">
        <v>0</v>
      </c>
      <c r="Z294" s="32">
        <v>0</v>
      </c>
      <c r="AA294" s="32">
        <v>0</v>
      </c>
      <c r="AB294" s="32">
        <v>0</v>
      </c>
      <c r="AC294" s="32">
        <f>ROUND(R294*1.4925%,2)</f>
        <v>49077.63</v>
      </c>
      <c r="AD294" s="32">
        <v>0</v>
      </c>
      <c r="AE294" s="32">
        <v>0</v>
      </c>
      <c r="AF294" s="35" t="s">
        <v>275</v>
      </c>
      <c r="AG294" s="35">
        <v>2020</v>
      </c>
      <c r="AH294" s="36">
        <v>2020</v>
      </c>
    </row>
    <row r="295" spans="1:46" ht="61.5" x14ac:dyDescent="0.85">
      <c r="A295" s="21">
        <v>1</v>
      </c>
      <c r="B295" s="70">
        <f>SUBTOTAL(103,$A$22:A295)</f>
        <v>263</v>
      </c>
      <c r="C295" s="25" t="s">
        <v>1292</v>
      </c>
      <c r="D295" s="32">
        <f t="shared" si="87"/>
        <v>1087450.3500000001</v>
      </c>
      <c r="E295" s="39">
        <v>154554.67000000001</v>
      </c>
      <c r="F295" s="39">
        <v>0</v>
      </c>
      <c r="G295" s="32">
        <v>666330.31000000006</v>
      </c>
      <c r="H295" s="39">
        <v>250573.85</v>
      </c>
      <c r="I295" s="39">
        <v>0</v>
      </c>
      <c r="J295" s="39">
        <v>0</v>
      </c>
      <c r="K295" s="34">
        <v>0</v>
      </c>
      <c r="L295" s="32">
        <v>0</v>
      </c>
      <c r="M295" s="32">
        <v>0</v>
      </c>
      <c r="N295" s="32">
        <v>0</v>
      </c>
      <c r="O295" s="39">
        <v>0</v>
      </c>
      <c r="P295" s="39">
        <v>0</v>
      </c>
      <c r="Q295" s="32">
        <v>0</v>
      </c>
      <c r="R295" s="32">
        <v>0</v>
      </c>
      <c r="S295" s="32">
        <v>0</v>
      </c>
      <c r="T295" s="32">
        <v>0</v>
      </c>
      <c r="U295" s="32">
        <v>0</v>
      </c>
      <c r="V295" s="32">
        <v>0</v>
      </c>
      <c r="W295" s="32">
        <v>0</v>
      </c>
      <c r="X295" s="32">
        <v>0</v>
      </c>
      <c r="Y295" s="32">
        <v>0</v>
      </c>
      <c r="Z295" s="32">
        <v>0</v>
      </c>
      <c r="AA295" s="32">
        <v>0</v>
      </c>
      <c r="AB295" s="32">
        <v>0</v>
      </c>
      <c r="AC295" s="32">
        <f>ROUND((E295+F295+G295+H295+I295+J295)*1.4925%,2)</f>
        <v>15991.52</v>
      </c>
      <c r="AD295" s="32">
        <v>0</v>
      </c>
      <c r="AE295" s="32">
        <v>0</v>
      </c>
      <c r="AF295" s="35" t="s">
        <v>275</v>
      </c>
      <c r="AG295" s="35">
        <v>2020</v>
      </c>
      <c r="AH295" s="36">
        <v>2020</v>
      </c>
    </row>
    <row r="296" spans="1:46" ht="61.5" x14ac:dyDescent="0.85">
      <c r="A296" s="21">
        <v>1</v>
      </c>
      <c r="B296" s="70">
        <f>SUBTOTAL(103,$A$22:A296)</f>
        <v>264</v>
      </c>
      <c r="C296" s="25" t="s">
        <v>1293</v>
      </c>
      <c r="D296" s="32">
        <f t="shared" si="87"/>
        <v>3465045.78</v>
      </c>
      <c r="E296" s="39">
        <v>0</v>
      </c>
      <c r="F296" s="39">
        <v>0</v>
      </c>
      <c r="G296" s="32">
        <v>0</v>
      </c>
      <c r="H296" s="39">
        <v>0</v>
      </c>
      <c r="I296" s="39">
        <v>0</v>
      </c>
      <c r="J296" s="39">
        <v>0</v>
      </c>
      <c r="K296" s="34">
        <v>0</v>
      </c>
      <c r="L296" s="32">
        <v>0</v>
      </c>
      <c r="M296" s="32">
        <v>0</v>
      </c>
      <c r="N296" s="32">
        <v>0</v>
      </c>
      <c r="O296" s="39">
        <v>339.3</v>
      </c>
      <c r="P296" s="39">
        <v>3414090.48</v>
      </c>
      <c r="Q296" s="32">
        <v>0</v>
      </c>
      <c r="R296" s="32">
        <v>0</v>
      </c>
      <c r="S296" s="32">
        <v>0</v>
      </c>
      <c r="T296" s="32">
        <v>0</v>
      </c>
      <c r="U296" s="32">
        <v>0</v>
      </c>
      <c r="V296" s="32">
        <v>0</v>
      </c>
      <c r="W296" s="32">
        <v>0</v>
      </c>
      <c r="X296" s="32">
        <v>0</v>
      </c>
      <c r="Y296" s="32">
        <v>0</v>
      </c>
      <c r="Z296" s="32">
        <v>0</v>
      </c>
      <c r="AA296" s="32">
        <v>0</v>
      </c>
      <c r="AB296" s="32">
        <v>0</v>
      </c>
      <c r="AC296" s="32">
        <f>ROUND(P296*1.4925%,2)</f>
        <v>50955.3</v>
      </c>
      <c r="AD296" s="32">
        <v>0</v>
      </c>
      <c r="AE296" s="32">
        <v>0</v>
      </c>
      <c r="AF296" s="35" t="s">
        <v>275</v>
      </c>
      <c r="AG296" s="35">
        <v>2020</v>
      </c>
      <c r="AH296" s="36">
        <v>2020</v>
      </c>
    </row>
    <row r="297" spans="1:46" ht="61.5" x14ac:dyDescent="0.85">
      <c r="B297" s="25" t="s">
        <v>873</v>
      </c>
      <c r="C297" s="25"/>
      <c r="D297" s="32">
        <f>SUM(D298:D302)</f>
        <v>4062130.5699999989</v>
      </c>
      <c r="E297" s="32">
        <f t="shared" ref="E297:AE297" si="89">SUM(E298:E302)</f>
        <v>230449.88</v>
      </c>
      <c r="F297" s="32">
        <f t="shared" si="89"/>
        <v>0</v>
      </c>
      <c r="G297" s="32">
        <f t="shared" si="89"/>
        <v>0</v>
      </c>
      <c r="H297" s="32">
        <f t="shared" si="89"/>
        <v>396684.17000000004</v>
      </c>
      <c r="I297" s="32">
        <f t="shared" si="89"/>
        <v>778512.22</v>
      </c>
      <c r="J297" s="32">
        <f t="shared" si="89"/>
        <v>0</v>
      </c>
      <c r="K297" s="34">
        <f t="shared" si="89"/>
        <v>0</v>
      </c>
      <c r="L297" s="32">
        <f t="shared" si="89"/>
        <v>0</v>
      </c>
      <c r="M297" s="32">
        <f t="shared" si="89"/>
        <v>496</v>
      </c>
      <c r="N297" s="32">
        <f t="shared" si="89"/>
        <v>2369851.8199999998</v>
      </c>
      <c r="O297" s="32">
        <f t="shared" si="89"/>
        <v>0</v>
      </c>
      <c r="P297" s="32">
        <f t="shared" si="89"/>
        <v>0</v>
      </c>
      <c r="Q297" s="32">
        <f t="shared" si="89"/>
        <v>0</v>
      </c>
      <c r="R297" s="32">
        <f t="shared" si="89"/>
        <v>0</v>
      </c>
      <c r="S297" s="32">
        <f t="shared" si="89"/>
        <v>0</v>
      </c>
      <c r="T297" s="32">
        <f t="shared" si="89"/>
        <v>0</v>
      </c>
      <c r="U297" s="32">
        <f t="shared" si="89"/>
        <v>0</v>
      </c>
      <c r="V297" s="32">
        <f t="shared" si="89"/>
        <v>0</v>
      </c>
      <c r="W297" s="32">
        <f t="shared" si="89"/>
        <v>0</v>
      </c>
      <c r="X297" s="32">
        <f t="shared" si="89"/>
        <v>0</v>
      </c>
      <c r="Y297" s="32">
        <f t="shared" si="89"/>
        <v>0</v>
      </c>
      <c r="Z297" s="32">
        <f t="shared" si="89"/>
        <v>0</v>
      </c>
      <c r="AA297" s="32">
        <f t="shared" si="89"/>
        <v>0</v>
      </c>
      <c r="AB297" s="32">
        <f t="shared" si="89"/>
        <v>0</v>
      </c>
      <c r="AC297" s="32">
        <f t="shared" si="89"/>
        <v>56632.479999999996</v>
      </c>
      <c r="AD297" s="32">
        <f t="shared" si="89"/>
        <v>230000</v>
      </c>
      <c r="AE297" s="32">
        <f t="shared" si="89"/>
        <v>0</v>
      </c>
      <c r="AF297" s="77" t="s">
        <v>801</v>
      </c>
      <c r="AG297" s="77" t="s">
        <v>801</v>
      </c>
      <c r="AH297" s="107" t="s">
        <v>801</v>
      </c>
      <c r="AT297" s="21" t="e">
        <f>VLOOKUP(C297,AW:AX,2,FALSE)</f>
        <v>#N/A</v>
      </c>
    </row>
    <row r="298" spans="1:46" ht="61.5" x14ac:dyDescent="0.85">
      <c r="A298" s="21">
        <v>1</v>
      </c>
      <c r="B298" s="70">
        <f>SUBTOTAL(103,$A$22:A298)</f>
        <v>265</v>
      </c>
      <c r="C298" s="25" t="s">
        <v>739</v>
      </c>
      <c r="D298" s="32">
        <f t="shared" ref="D298:D302" si="90">E298+F298+G298+H298+I298+J298+L298+N298+P298+R298+T298+U298+V298+W298+X298+Y298+Z298+AA298+AB298+AC298+AD298+AE298</f>
        <v>2525399.5999999996</v>
      </c>
      <c r="E298" s="39">
        <v>0</v>
      </c>
      <c r="F298" s="39">
        <v>0</v>
      </c>
      <c r="G298" s="32">
        <v>0</v>
      </c>
      <c r="H298" s="39">
        <v>0</v>
      </c>
      <c r="I298" s="39">
        <v>0</v>
      </c>
      <c r="J298" s="39">
        <v>0</v>
      </c>
      <c r="K298" s="34">
        <v>0</v>
      </c>
      <c r="L298" s="32">
        <v>0</v>
      </c>
      <c r="M298" s="32">
        <v>496</v>
      </c>
      <c r="N298" s="32">
        <f>1857534.42+512317.4</f>
        <v>2369851.8199999998</v>
      </c>
      <c r="O298" s="39">
        <v>0</v>
      </c>
      <c r="P298" s="39">
        <v>0</v>
      </c>
      <c r="Q298" s="32">
        <v>0</v>
      </c>
      <c r="R298" s="32">
        <v>0</v>
      </c>
      <c r="S298" s="32">
        <v>0</v>
      </c>
      <c r="T298" s="32">
        <v>0</v>
      </c>
      <c r="U298" s="32">
        <v>0</v>
      </c>
      <c r="V298" s="32">
        <v>0</v>
      </c>
      <c r="W298" s="32">
        <v>0</v>
      </c>
      <c r="X298" s="32">
        <v>0</v>
      </c>
      <c r="Y298" s="32">
        <v>0</v>
      </c>
      <c r="Z298" s="32">
        <v>0</v>
      </c>
      <c r="AA298" s="32">
        <v>0</v>
      </c>
      <c r="AB298" s="32">
        <v>0</v>
      </c>
      <c r="AC298" s="32">
        <f>ROUND(N298*1.5%,2)</f>
        <v>35547.78</v>
      </c>
      <c r="AD298" s="32">
        <v>120000</v>
      </c>
      <c r="AE298" s="32">
        <v>0</v>
      </c>
      <c r="AF298" s="35">
        <v>2020</v>
      </c>
      <c r="AG298" s="35">
        <v>2020</v>
      </c>
      <c r="AH298" s="36">
        <v>2020</v>
      </c>
      <c r="AT298" s="21" t="e">
        <f>VLOOKUP(C298,AW:AX,2,FALSE)</f>
        <v>#N/A</v>
      </c>
    </row>
    <row r="299" spans="1:46" ht="61.5" x14ac:dyDescent="0.85">
      <c r="A299" s="21">
        <v>1</v>
      </c>
      <c r="B299" s="70">
        <f>SUBTOTAL(103,$A$22:A299)</f>
        <v>266</v>
      </c>
      <c r="C299" s="25" t="s">
        <v>730</v>
      </c>
      <c r="D299" s="32">
        <f t="shared" si="90"/>
        <v>150594.57</v>
      </c>
      <c r="E299" s="39">
        <v>0</v>
      </c>
      <c r="F299" s="39">
        <v>0</v>
      </c>
      <c r="G299" s="32">
        <v>0</v>
      </c>
      <c r="H299" s="39">
        <v>0</v>
      </c>
      <c r="I299" s="32">
        <v>108960.17</v>
      </c>
      <c r="J299" s="39">
        <v>0</v>
      </c>
      <c r="K299" s="34">
        <v>0</v>
      </c>
      <c r="L299" s="32">
        <v>0</v>
      </c>
      <c r="M299" s="32">
        <v>0</v>
      </c>
      <c r="N299" s="32">
        <v>0</v>
      </c>
      <c r="O299" s="39">
        <v>0</v>
      </c>
      <c r="P299" s="39">
        <v>0</v>
      </c>
      <c r="Q299" s="32">
        <v>0</v>
      </c>
      <c r="R299" s="32">
        <v>0</v>
      </c>
      <c r="S299" s="32">
        <v>0</v>
      </c>
      <c r="T299" s="32">
        <v>0</v>
      </c>
      <c r="U299" s="32">
        <v>0</v>
      </c>
      <c r="V299" s="32">
        <v>0</v>
      </c>
      <c r="W299" s="32">
        <v>0</v>
      </c>
      <c r="X299" s="32">
        <v>0</v>
      </c>
      <c r="Y299" s="32">
        <v>0</v>
      </c>
      <c r="Z299" s="32">
        <v>0</v>
      </c>
      <c r="AA299" s="32">
        <v>0</v>
      </c>
      <c r="AB299" s="32">
        <v>0</v>
      </c>
      <c r="AC299" s="32">
        <f t="shared" ref="AC299:AC300" si="91">ROUND((E299+F299+G299+H299+I299+J299)*1.5%,2)</f>
        <v>1634.4</v>
      </c>
      <c r="AD299" s="32">
        <v>40000</v>
      </c>
      <c r="AE299" s="32">
        <v>0</v>
      </c>
      <c r="AF299" s="35">
        <v>2020</v>
      </c>
      <c r="AG299" s="35">
        <v>2020</v>
      </c>
      <c r="AH299" s="36">
        <v>2020</v>
      </c>
      <c r="AT299" s="21" t="e">
        <f>VLOOKUP(C299,AW:AX,2,FALSE)</f>
        <v>#N/A</v>
      </c>
    </row>
    <row r="300" spans="1:46" ht="61.5" x14ac:dyDescent="0.85">
      <c r="A300" s="21">
        <v>1</v>
      </c>
      <c r="B300" s="70">
        <f>SUBTOTAL(103,$A$22:A300)</f>
        <v>267</v>
      </c>
      <c r="C300" s="25" t="s">
        <v>729</v>
      </c>
      <c r="D300" s="32">
        <f t="shared" si="90"/>
        <v>617736.44999999995</v>
      </c>
      <c r="E300" s="39">
        <v>0</v>
      </c>
      <c r="F300" s="39">
        <v>0</v>
      </c>
      <c r="G300" s="32">
        <v>0</v>
      </c>
      <c r="H300" s="39">
        <v>0</v>
      </c>
      <c r="I300" s="32">
        <v>539641.81999999995</v>
      </c>
      <c r="J300" s="39">
        <v>0</v>
      </c>
      <c r="K300" s="34">
        <v>0</v>
      </c>
      <c r="L300" s="32">
        <v>0</v>
      </c>
      <c r="M300" s="32">
        <v>0</v>
      </c>
      <c r="N300" s="32">
        <v>0</v>
      </c>
      <c r="O300" s="39">
        <v>0</v>
      </c>
      <c r="P300" s="39">
        <v>0</v>
      </c>
      <c r="Q300" s="32">
        <v>0</v>
      </c>
      <c r="R300" s="32">
        <v>0</v>
      </c>
      <c r="S300" s="32">
        <v>0</v>
      </c>
      <c r="T300" s="32">
        <v>0</v>
      </c>
      <c r="U300" s="32">
        <v>0</v>
      </c>
      <c r="V300" s="32">
        <v>0</v>
      </c>
      <c r="W300" s="32">
        <v>0</v>
      </c>
      <c r="X300" s="32">
        <v>0</v>
      </c>
      <c r="Y300" s="32">
        <v>0</v>
      </c>
      <c r="Z300" s="32">
        <v>0</v>
      </c>
      <c r="AA300" s="32">
        <v>0</v>
      </c>
      <c r="AB300" s="32">
        <v>0</v>
      </c>
      <c r="AC300" s="32">
        <f t="shared" si="91"/>
        <v>8094.63</v>
      </c>
      <c r="AD300" s="32">
        <v>70000</v>
      </c>
      <c r="AE300" s="32">
        <v>0</v>
      </c>
      <c r="AF300" s="35">
        <v>2020</v>
      </c>
      <c r="AG300" s="35">
        <v>2020</v>
      </c>
      <c r="AH300" s="36">
        <v>2020</v>
      </c>
      <c r="AT300" s="21" t="e">
        <f>VLOOKUP(C300,AW:AX,2,FALSE)</f>
        <v>#N/A</v>
      </c>
    </row>
    <row r="301" spans="1:46" ht="61.5" x14ac:dyDescent="0.85">
      <c r="A301" s="21">
        <v>1</v>
      </c>
      <c r="B301" s="70">
        <f>SUBTOTAL(103,$A$22:A301)</f>
        <v>268</v>
      </c>
      <c r="C301" s="25" t="s">
        <v>1298</v>
      </c>
      <c r="D301" s="32">
        <f t="shared" si="90"/>
        <v>556946.59000000008</v>
      </c>
      <c r="E301" s="39">
        <v>230449.88</v>
      </c>
      <c r="F301" s="39">
        <v>0</v>
      </c>
      <c r="G301" s="32">
        <v>0</v>
      </c>
      <c r="H301" s="39">
        <v>318265.97000000003</v>
      </c>
      <c r="I301" s="39">
        <v>0</v>
      </c>
      <c r="J301" s="39">
        <v>0</v>
      </c>
      <c r="K301" s="34">
        <v>0</v>
      </c>
      <c r="L301" s="32">
        <v>0</v>
      </c>
      <c r="M301" s="32">
        <v>0</v>
      </c>
      <c r="N301" s="32">
        <v>0</v>
      </c>
      <c r="O301" s="39">
        <v>0</v>
      </c>
      <c r="P301" s="39">
        <v>0</v>
      </c>
      <c r="Q301" s="32">
        <v>0</v>
      </c>
      <c r="R301" s="32">
        <v>0</v>
      </c>
      <c r="S301" s="32">
        <v>0</v>
      </c>
      <c r="T301" s="32">
        <v>0</v>
      </c>
      <c r="U301" s="32">
        <v>0</v>
      </c>
      <c r="V301" s="32">
        <v>0</v>
      </c>
      <c r="W301" s="32">
        <v>0</v>
      </c>
      <c r="X301" s="32">
        <v>0</v>
      </c>
      <c r="Y301" s="32">
        <v>0</v>
      </c>
      <c r="Z301" s="32">
        <v>0</v>
      </c>
      <c r="AA301" s="32">
        <v>0</v>
      </c>
      <c r="AB301" s="32">
        <v>0</v>
      </c>
      <c r="AC301" s="32">
        <f t="shared" ref="AC301:AC302" si="92">ROUND((E301+F301+G301+H301+I301+J301)*1.5%,2)</f>
        <v>8230.74</v>
      </c>
      <c r="AD301" s="32">
        <v>0</v>
      </c>
      <c r="AE301" s="32">
        <v>0</v>
      </c>
      <c r="AF301" s="35" t="s">
        <v>275</v>
      </c>
      <c r="AG301" s="35">
        <v>2020</v>
      </c>
      <c r="AH301" s="36">
        <v>2020</v>
      </c>
    </row>
    <row r="302" spans="1:46" ht="61.5" x14ac:dyDescent="0.85">
      <c r="A302" s="21">
        <v>1</v>
      </c>
      <c r="B302" s="70">
        <f>SUBTOTAL(103,$A$22:A302)</f>
        <v>269</v>
      </c>
      <c r="C302" s="25" t="s">
        <v>1299</v>
      </c>
      <c r="D302" s="32">
        <f t="shared" si="90"/>
        <v>211453.36</v>
      </c>
      <c r="E302" s="39">
        <v>0</v>
      </c>
      <c r="F302" s="39">
        <v>0</v>
      </c>
      <c r="G302" s="32">
        <v>0</v>
      </c>
      <c r="H302" s="39">
        <v>78418.2</v>
      </c>
      <c r="I302" s="39">
        <v>129910.23</v>
      </c>
      <c r="J302" s="39">
        <v>0</v>
      </c>
      <c r="K302" s="34">
        <v>0</v>
      </c>
      <c r="L302" s="32">
        <v>0</v>
      </c>
      <c r="M302" s="32">
        <v>0</v>
      </c>
      <c r="N302" s="32">
        <v>0</v>
      </c>
      <c r="O302" s="39">
        <v>0</v>
      </c>
      <c r="P302" s="39">
        <v>0</v>
      </c>
      <c r="Q302" s="32">
        <v>0</v>
      </c>
      <c r="R302" s="32">
        <v>0</v>
      </c>
      <c r="S302" s="32">
        <v>0</v>
      </c>
      <c r="T302" s="32">
        <v>0</v>
      </c>
      <c r="U302" s="32">
        <v>0</v>
      </c>
      <c r="V302" s="32">
        <v>0</v>
      </c>
      <c r="W302" s="32">
        <v>0</v>
      </c>
      <c r="X302" s="32">
        <v>0</v>
      </c>
      <c r="Y302" s="32">
        <v>0</v>
      </c>
      <c r="Z302" s="32">
        <v>0</v>
      </c>
      <c r="AA302" s="32">
        <v>0</v>
      </c>
      <c r="AB302" s="32">
        <v>0</v>
      </c>
      <c r="AC302" s="32">
        <f t="shared" si="92"/>
        <v>3124.93</v>
      </c>
      <c r="AD302" s="32">
        <v>0</v>
      </c>
      <c r="AE302" s="32">
        <v>0</v>
      </c>
      <c r="AF302" s="35" t="s">
        <v>275</v>
      </c>
      <c r="AG302" s="35">
        <v>2020</v>
      </c>
      <c r="AH302" s="36">
        <v>2020</v>
      </c>
    </row>
    <row r="303" spans="1:46" ht="61.5" x14ac:dyDescent="0.85">
      <c r="B303" s="25" t="s">
        <v>874</v>
      </c>
      <c r="C303" s="25"/>
      <c r="D303" s="32">
        <f>D304</f>
        <v>3673115.64</v>
      </c>
      <c r="E303" s="32">
        <f t="shared" ref="E303:AE303" si="93">E304</f>
        <v>0</v>
      </c>
      <c r="F303" s="32">
        <f t="shared" si="93"/>
        <v>0</v>
      </c>
      <c r="G303" s="32">
        <f t="shared" si="93"/>
        <v>0</v>
      </c>
      <c r="H303" s="32">
        <f t="shared" si="93"/>
        <v>0</v>
      </c>
      <c r="I303" s="32">
        <f t="shared" si="93"/>
        <v>0</v>
      </c>
      <c r="J303" s="32">
        <f t="shared" si="93"/>
        <v>0</v>
      </c>
      <c r="K303" s="34">
        <f t="shared" si="93"/>
        <v>0</v>
      </c>
      <c r="L303" s="32">
        <f t="shared" si="93"/>
        <v>0</v>
      </c>
      <c r="M303" s="32">
        <f t="shared" si="93"/>
        <v>701.9</v>
      </c>
      <c r="N303" s="32">
        <f t="shared" si="93"/>
        <v>3471049.89</v>
      </c>
      <c r="O303" s="32">
        <f t="shared" si="93"/>
        <v>0</v>
      </c>
      <c r="P303" s="32">
        <f t="shared" si="93"/>
        <v>0</v>
      </c>
      <c r="Q303" s="32">
        <f t="shared" si="93"/>
        <v>0</v>
      </c>
      <c r="R303" s="32">
        <f t="shared" si="93"/>
        <v>0</v>
      </c>
      <c r="S303" s="32">
        <f t="shared" si="93"/>
        <v>0</v>
      </c>
      <c r="T303" s="32">
        <f t="shared" si="93"/>
        <v>0</v>
      </c>
      <c r="U303" s="32">
        <f t="shared" si="93"/>
        <v>0</v>
      </c>
      <c r="V303" s="32">
        <f t="shared" si="93"/>
        <v>0</v>
      </c>
      <c r="W303" s="32">
        <f t="shared" si="93"/>
        <v>0</v>
      </c>
      <c r="X303" s="32">
        <f t="shared" si="93"/>
        <v>0</v>
      </c>
      <c r="Y303" s="32">
        <f t="shared" si="93"/>
        <v>0</v>
      </c>
      <c r="Z303" s="32">
        <f t="shared" si="93"/>
        <v>0</v>
      </c>
      <c r="AA303" s="32">
        <f t="shared" si="93"/>
        <v>0</v>
      </c>
      <c r="AB303" s="32">
        <f t="shared" si="93"/>
        <v>0</v>
      </c>
      <c r="AC303" s="32">
        <f t="shared" si="93"/>
        <v>52065.75</v>
      </c>
      <c r="AD303" s="32">
        <f t="shared" si="93"/>
        <v>150000</v>
      </c>
      <c r="AE303" s="32">
        <f t="shared" si="93"/>
        <v>0</v>
      </c>
      <c r="AF303" s="77" t="s">
        <v>801</v>
      </c>
      <c r="AG303" s="77" t="s">
        <v>801</v>
      </c>
      <c r="AH303" s="107" t="s">
        <v>801</v>
      </c>
      <c r="AT303" s="21" t="e">
        <f t="shared" ref="AT303:AT313" si="94">VLOOKUP(C303,AW:AX,2,FALSE)</f>
        <v>#N/A</v>
      </c>
    </row>
    <row r="304" spans="1:46" ht="61.5" x14ac:dyDescent="0.85">
      <c r="A304" s="21">
        <v>1</v>
      </c>
      <c r="B304" s="70">
        <f>SUBTOTAL(103,$A$22:A304)</f>
        <v>270</v>
      </c>
      <c r="C304" s="25" t="s">
        <v>727</v>
      </c>
      <c r="D304" s="32">
        <f t="shared" ref="D304" si="95">E304+F304+G304+H304+I304+J304+L304+N304+P304+R304+T304+U304+V304+W304+X304+Y304+Z304+AA304+AB304+AC304+AD304+AE304</f>
        <v>3673115.64</v>
      </c>
      <c r="E304" s="39">
        <v>0</v>
      </c>
      <c r="F304" s="39">
        <v>0</v>
      </c>
      <c r="G304" s="32">
        <v>0</v>
      </c>
      <c r="H304" s="39">
        <v>0</v>
      </c>
      <c r="I304" s="39">
        <v>0</v>
      </c>
      <c r="J304" s="39">
        <v>0</v>
      </c>
      <c r="K304" s="34">
        <v>0</v>
      </c>
      <c r="L304" s="32">
        <v>0</v>
      </c>
      <c r="M304" s="32">
        <v>701.9</v>
      </c>
      <c r="N304" s="32">
        <f>2657253.18+813796.71</f>
        <v>3471049.89</v>
      </c>
      <c r="O304" s="39">
        <v>0</v>
      </c>
      <c r="P304" s="39">
        <v>0</v>
      </c>
      <c r="Q304" s="32">
        <v>0</v>
      </c>
      <c r="R304" s="32">
        <v>0</v>
      </c>
      <c r="S304" s="32">
        <v>0</v>
      </c>
      <c r="T304" s="32">
        <v>0</v>
      </c>
      <c r="U304" s="32">
        <v>0</v>
      </c>
      <c r="V304" s="32">
        <v>0</v>
      </c>
      <c r="W304" s="32">
        <v>0</v>
      </c>
      <c r="X304" s="32">
        <v>0</v>
      </c>
      <c r="Y304" s="32">
        <v>0</v>
      </c>
      <c r="Z304" s="32">
        <v>0</v>
      </c>
      <c r="AA304" s="32">
        <v>0</v>
      </c>
      <c r="AB304" s="32">
        <v>0</v>
      </c>
      <c r="AC304" s="32">
        <f>ROUND(N304*1.5%,2)</f>
        <v>52065.75</v>
      </c>
      <c r="AD304" s="32">
        <v>150000</v>
      </c>
      <c r="AE304" s="32">
        <v>0</v>
      </c>
      <c r="AF304" s="35">
        <v>2020</v>
      </c>
      <c r="AG304" s="35">
        <v>2020</v>
      </c>
      <c r="AH304" s="36">
        <v>2020</v>
      </c>
      <c r="AT304" s="21" t="e">
        <f t="shared" si="94"/>
        <v>#N/A</v>
      </c>
    </row>
    <row r="305" spans="1:46" ht="61.5" x14ac:dyDescent="0.85">
      <c r="B305" s="25" t="s">
        <v>875</v>
      </c>
      <c r="C305" s="25"/>
      <c r="D305" s="32">
        <f t="shared" ref="D305:AE305" si="96">SUM(D306:D320)</f>
        <v>46347987.670000002</v>
      </c>
      <c r="E305" s="32">
        <f t="shared" si="96"/>
        <v>0</v>
      </c>
      <c r="F305" s="32">
        <f t="shared" si="96"/>
        <v>0</v>
      </c>
      <c r="G305" s="32">
        <f t="shared" si="96"/>
        <v>0</v>
      </c>
      <c r="H305" s="32">
        <f t="shared" si="96"/>
        <v>0</v>
      </c>
      <c r="I305" s="32">
        <f t="shared" si="96"/>
        <v>0</v>
      </c>
      <c r="J305" s="32">
        <f t="shared" si="96"/>
        <v>0</v>
      </c>
      <c r="K305" s="34">
        <f t="shared" si="96"/>
        <v>9</v>
      </c>
      <c r="L305" s="32">
        <f t="shared" si="96"/>
        <v>17262116.5</v>
      </c>
      <c r="M305" s="32">
        <f t="shared" si="96"/>
        <v>4865.8999999999996</v>
      </c>
      <c r="N305" s="32">
        <f t="shared" si="96"/>
        <v>22293241.949999999</v>
      </c>
      <c r="O305" s="32">
        <f t="shared" si="96"/>
        <v>0</v>
      </c>
      <c r="P305" s="32">
        <f t="shared" si="96"/>
        <v>0</v>
      </c>
      <c r="Q305" s="32">
        <f t="shared" si="96"/>
        <v>1525.24</v>
      </c>
      <c r="R305" s="32">
        <f t="shared" si="96"/>
        <v>4936345.04</v>
      </c>
      <c r="S305" s="32">
        <f t="shared" si="96"/>
        <v>0</v>
      </c>
      <c r="T305" s="32">
        <f t="shared" si="96"/>
        <v>0</v>
      </c>
      <c r="U305" s="32">
        <f t="shared" si="96"/>
        <v>0</v>
      </c>
      <c r="V305" s="32">
        <f t="shared" si="96"/>
        <v>0</v>
      </c>
      <c r="W305" s="32">
        <f t="shared" si="96"/>
        <v>0</v>
      </c>
      <c r="X305" s="32">
        <f t="shared" si="96"/>
        <v>0</v>
      </c>
      <c r="Y305" s="32">
        <f t="shared" si="96"/>
        <v>0</v>
      </c>
      <c r="Z305" s="32">
        <f t="shared" si="96"/>
        <v>0</v>
      </c>
      <c r="AA305" s="32">
        <f t="shared" si="96"/>
        <v>0</v>
      </c>
      <c r="AB305" s="32">
        <f t="shared" si="96"/>
        <v>0</v>
      </c>
      <c r="AC305" s="32">
        <f t="shared" si="96"/>
        <v>408443.8</v>
      </c>
      <c r="AD305" s="32">
        <f t="shared" si="96"/>
        <v>1087840.3799999999</v>
      </c>
      <c r="AE305" s="32">
        <f t="shared" si="96"/>
        <v>360000</v>
      </c>
      <c r="AF305" s="77" t="s">
        <v>801</v>
      </c>
      <c r="AG305" s="77" t="s">
        <v>801</v>
      </c>
      <c r="AH305" s="107" t="s">
        <v>801</v>
      </c>
      <c r="AT305" s="21" t="e">
        <f t="shared" si="94"/>
        <v>#N/A</v>
      </c>
    </row>
    <row r="306" spans="1:46" ht="61.5" x14ac:dyDescent="0.85">
      <c r="A306" s="21">
        <v>1</v>
      </c>
      <c r="B306" s="70">
        <f>SUBTOTAL(103,$A$22:A306)</f>
        <v>271</v>
      </c>
      <c r="C306" s="25" t="s">
        <v>731</v>
      </c>
      <c r="D306" s="32">
        <f t="shared" ref="D306:D320" si="97">E306+F306+G306+H306+I306+J306+L306+N306+P306+R306+T306+U306+V306+W306+X306+Y306+Z306+AA306+AB306+AC306+AD306+AE306</f>
        <v>3681369</v>
      </c>
      <c r="E306" s="39">
        <v>0</v>
      </c>
      <c r="F306" s="39">
        <v>0</v>
      </c>
      <c r="G306" s="32">
        <v>0</v>
      </c>
      <c r="H306" s="39">
        <v>0</v>
      </c>
      <c r="I306" s="39">
        <v>0</v>
      </c>
      <c r="J306" s="39">
        <v>0</v>
      </c>
      <c r="K306" s="34">
        <v>0</v>
      </c>
      <c r="L306" s="32">
        <v>0</v>
      </c>
      <c r="M306" s="32">
        <v>705</v>
      </c>
      <c r="N306" s="32">
        <v>3479181.28</v>
      </c>
      <c r="O306" s="39">
        <v>0</v>
      </c>
      <c r="P306" s="39">
        <v>0</v>
      </c>
      <c r="Q306" s="32">
        <v>0</v>
      </c>
      <c r="R306" s="32">
        <v>0</v>
      </c>
      <c r="S306" s="32">
        <v>0</v>
      </c>
      <c r="T306" s="32">
        <v>0</v>
      </c>
      <c r="U306" s="32">
        <v>0</v>
      </c>
      <c r="V306" s="32">
        <v>0</v>
      </c>
      <c r="W306" s="32">
        <v>0</v>
      </c>
      <c r="X306" s="32">
        <v>0</v>
      </c>
      <c r="Y306" s="32">
        <v>0</v>
      </c>
      <c r="Z306" s="32">
        <v>0</v>
      </c>
      <c r="AA306" s="32">
        <v>0</v>
      </c>
      <c r="AB306" s="32">
        <v>0</v>
      </c>
      <c r="AC306" s="32">
        <f t="shared" ref="AC306:AC307" si="98">ROUND(N306*1.5%,2)</f>
        <v>52187.72</v>
      </c>
      <c r="AD306" s="32">
        <v>150000</v>
      </c>
      <c r="AE306" s="32">
        <v>0</v>
      </c>
      <c r="AF306" s="35">
        <v>2020</v>
      </c>
      <c r="AG306" s="35">
        <v>2020</v>
      </c>
      <c r="AH306" s="36">
        <v>2020</v>
      </c>
      <c r="AT306" s="21" t="e">
        <f t="shared" si="94"/>
        <v>#N/A</v>
      </c>
    </row>
    <row r="307" spans="1:46" ht="61.5" x14ac:dyDescent="0.85">
      <c r="A307" s="21">
        <v>1</v>
      </c>
      <c r="B307" s="70">
        <f>SUBTOTAL(103,$A$22:A307)</f>
        <v>272</v>
      </c>
      <c r="C307" s="25" t="s">
        <v>715</v>
      </c>
      <c r="D307" s="32">
        <f t="shared" si="97"/>
        <v>3020247.54</v>
      </c>
      <c r="E307" s="39">
        <v>0</v>
      </c>
      <c r="F307" s="39">
        <v>0</v>
      </c>
      <c r="G307" s="32">
        <v>0</v>
      </c>
      <c r="H307" s="39">
        <v>0</v>
      </c>
      <c r="I307" s="39">
        <v>0</v>
      </c>
      <c r="J307" s="39">
        <v>0</v>
      </c>
      <c r="K307" s="34">
        <v>0</v>
      </c>
      <c r="L307" s="32">
        <v>0</v>
      </c>
      <c r="M307" s="32">
        <v>795</v>
      </c>
      <c r="N307" s="32">
        <v>2827830.09</v>
      </c>
      <c r="O307" s="39">
        <v>0</v>
      </c>
      <c r="P307" s="39">
        <v>0</v>
      </c>
      <c r="Q307" s="32">
        <v>0</v>
      </c>
      <c r="R307" s="32">
        <v>0</v>
      </c>
      <c r="S307" s="32">
        <v>0</v>
      </c>
      <c r="T307" s="32">
        <v>0</v>
      </c>
      <c r="U307" s="32">
        <v>0</v>
      </c>
      <c r="V307" s="32">
        <v>0</v>
      </c>
      <c r="W307" s="32">
        <v>0</v>
      </c>
      <c r="X307" s="32">
        <v>0</v>
      </c>
      <c r="Y307" s="32">
        <v>0</v>
      </c>
      <c r="Z307" s="32">
        <v>0</v>
      </c>
      <c r="AA307" s="32">
        <v>0</v>
      </c>
      <c r="AB307" s="32">
        <v>0</v>
      </c>
      <c r="AC307" s="32">
        <f t="shared" si="98"/>
        <v>42417.45</v>
      </c>
      <c r="AD307" s="32">
        <v>150000</v>
      </c>
      <c r="AE307" s="32">
        <v>0</v>
      </c>
      <c r="AF307" s="35">
        <v>2020</v>
      </c>
      <c r="AG307" s="35">
        <v>2020</v>
      </c>
      <c r="AH307" s="36">
        <v>2020</v>
      </c>
      <c r="AT307" s="21" t="e">
        <f t="shared" si="94"/>
        <v>#N/A</v>
      </c>
    </row>
    <row r="308" spans="1:46" ht="61.5" x14ac:dyDescent="0.85">
      <c r="A308" s="21">
        <v>1</v>
      </c>
      <c r="B308" s="70">
        <f>SUBTOTAL(103,$A$22:A308)</f>
        <v>273</v>
      </c>
      <c r="C308" s="25" t="s">
        <v>710</v>
      </c>
      <c r="D308" s="32">
        <f t="shared" si="97"/>
        <v>2007413</v>
      </c>
      <c r="E308" s="39">
        <v>0</v>
      </c>
      <c r="F308" s="39">
        <v>0</v>
      </c>
      <c r="G308" s="32">
        <v>0</v>
      </c>
      <c r="H308" s="39">
        <v>0</v>
      </c>
      <c r="I308" s="39">
        <v>0</v>
      </c>
      <c r="J308" s="39">
        <v>0</v>
      </c>
      <c r="K308" s="34">
        <v>1</v>
      </c>
      <c r="L308" s="32">
        <v>1907413</v>
      </c>
      <c r="M308" s="32">
        <v>0</v>
      </c>
      <c r="N308" s="32">
        <v>0</v>
      </c>
      <c r="O308" s="39">
        <v>0</v>
      </c>
      <c r="P308" s="39">
        <v>0</v>
      </c>
      <c r="Q308" s="32">
        <v>0</v>
      </c>
      <c r="R308" s="32">
        <v>0</v>
      </c>
      <c r="S308" s="32">
        <v>0</v>
      </c>
      <c r="T308" s="32">
        <v>0</v>
      </c>
      <c r="U308" s="32">
        <v>0</v>
      </c>
      <c r="V308" s="32">
        <v>0</v>
      </c>
      <c r="W308" s="32">
        <v>0</v>
      </c>
      <c r="X308" s="32">
        <v>0</v>
      </c>
      <c r="Y308" s="32">
        <v>0</v>
      </c>
      <c r="Z308" s="32">
        <v>0</v>
      </c>
      <c r="AA308" s="32">
        <v>0</v>
      </c>
      <c r="AB308" s="32">
        <v>0</v>
      </c>
      <c r="AC308" s="32">
        <v>0</v>
      </c>
      <c r="AD308" s="32">
        <v>100000</v>
      </c>
      <c r="AE308" s="32">
        <v>0</v>
      </c>
      <c r="AF308" s="35">
        <v>2020</v>
      </c>
      <c r="AG308" s="35">
        <v>2020</v>
      </c>
      <c r="AH308" s="36" t="s">
        <v>275</v>
      </c>
      <c r="AT308" s="21" t="e">
        <f t="shared" si="94"/>
        <v>#N/A</v>
      </c>
    </row>
    <row r="309" spans="1:46" ht="61.5" x14ac:dyDescent="0.85">
      <c r="A309" s="21">
        <v>1</v>
      </c>
      <c r="B309" s="70">
        <f>SUBTOTAL(103,$A$22:A309)</f>
        <v>274</v>
      </c>
      <c r="C309" s="25" t="s">
        <v>711</v>
      </c>
      <c r="D309" s="32">
        <f t="shared" si="97"/>
        <v>2007413</v>
      </c>
      <c r="E309" s="39">
        <v>0</v>
      </c>
      <c r="F309" s="39">
        <v>0</v>
      </c>
      <c r="G309" s="32">
        <v>0</v>
      </c>
      <c r="H309" s="39">
        <v>0</v>
      </c>
      <c r="I309" s="39">
        <v>0</v>
      </c>
      <c r="J309" s="39">
        <v>0</v>
      </c>
      <c r="K309" s="34">
        <v>1</v>
      </c>
      <c r="L309" s="32">
        <v>1907413</v>
      </c>
      <c r="M309" s="32">
        <v>0</v>
      </c>
      <c r="N309" s="32">
        <v>0</v>
      </c>
      <c r="O309" s="39">
        <v>0</v>
      </c>
      <c r="P309" s="39">
        <v>0</v>
      </c>
      <c r="Q309" s="32">
        <v>0</v>
      </c>
      <c r="R309" s="32">
        <v>0</v>
      </c>
      <c r="S309" s="32">
        <v>0</v>
      </c>
      <c r="T309" s="32">
        <v>0</v>
      </c>
      <c r="U309" s="32">
        <v>0</v>
      </c>
      <c r="V309" s="32">
        <v>0</v>
      </c>
      <c r="W309" s="32">
        <v>0</v>
      </c>
      <c r="X309" s="32">
        <v>0</v>
      </c>
      <c r="Y309" s="32">
        <v>0</v>
      </c>
      <c r="Z309" s="32">
        <v>0</v>
      </c>
      <c r="AA309" s="32">
        <v>0</v>
      </c>
      <c r="AB309" s="32">
        <v>0</v>
      </c>
      <c r="AC309" s="32">
        <v>0</v>
      </c>
      <c r="AD309" s="32">
        <v>100000</v>
      </c>
      <c r="AE309" s="32">
        <v>0</v>
      </c>
      <c r="AF309" s="35">
        <v>2020</v>
      </c>
      <c r="AG309" s="35">
        <v>2020</v>
      </c>
      <c r="AH309" s="36" t="s">
        <v>275</v>
      </c>
      <c r="AT309" s="21" t="e">
        <f t="shared" si="94"/>
        <v>#N/A</v>
      </c>
    </row>
    <row r="310" spans="1:46" ht="61.5" x14ac:dyDescent="0.85">
      <c r="A310" s="21">
        <v>1</v>
      </c>
      <c r="B310" s="70">
        <f>SUBTOTAL(103,$A$22:A310)</f>
        <v>275</v>
      </c>
      <c r="C310" s="25" t="s">
        <v>712</v>
      </c>
      <c r="D310" s="32">
        <f t="shared" si="97"/>
        <v>2007413</v>
      </c>
      <c r="E310" s="39">
        <v>0</v>
      </c>
      <c r="F310" s="39">
        <v>0</v>
      </c>
      <c r="G310" s="32">
        <v>0</v>
      </c>
      <c r="H310" s="39">
        <v>0</v>
      </c>
      <c r="I310" s="39">
        <v>0</v>
      </c>
      <c r="J310" s="39">
        <v>0</v>
      </c>
      <c r="K310" s="34">
        <v>1</v>
      </c>
      <c r="L310" s="32">
        <v>1907413</v>
      </c>
      <c r="M310" s="32">
        <v>0</v>
      </c>
      <c r="N310" s="32">
        <v>0</v>
      </c>
      <c r="O310" s="39">
        <v>0</v>
      </c>
      <c r="P310" s="39">
        <v>0</v>
      </c>
      <c r="Q310" s="32">
        <v>0</v>
      </c>
      <c r="R310" s="32">
        <v>0</v>
      </c>
      <c r="S310" s="32">
        <v>0</v>
      </c>
      <c r="T310" s="32">
        <v>0</v>
      </c>
      <c r="U310" s="32">
        <v>0</v>
      </c>
      <c r="V310" s="32">
        <v>0</v>
      </c>
      <c r="W310" s="32">
        <v>0</v>
      </c>
      <c r="X310" s="32">
        <v>0</v>
      </c>
      <c r="Y310" s="32">
        <v>0</v>
      </c>
      <c r="Z310" s="32">
        <v>0</v>
      </c>
      <c r="AA310" s="32">
        <v>0</v>
      </c>
      <c r="AB310" s="32">
        <v>0</v>
      </c>
      <c r="AC310" s="32">
        <v>0</v>
      </c>
      <c r="AD310" s="32">
        <v>100000</v>
      </c>
      <c r="AE310" s="32">
        <v>0</v>
      </c>
      <c r="AF310" s="35">
        <v>2020</v>
      </c>
      <c r="AG310" s="35">
        <v>2020</v>
      </c>
      <c r="AH310" s="36" t="s">
        <v>275</v>
      </c>
      <c r="AT310" s="21" t="e">
        <f t="shared" si="94"/>
        <v>#N/A</v>
      </c>
    </row>
    <row r="311" spans="1:46" ht="61.5" x14ac:dyDescent="0.85">
      <c r="A311" s="21">
        <v>1</v>
      </c>
      <c r="B311" s="70">
        <f>SUBTOTAL(103,$A$22:A311)</f>
        <v>276</v>
      </c>
      <c r="C311" s="25" t="s">
        <v>705</v>
      </c>
      <c r="D311" s="32">
        <f t="shared" si="97"/>
        <v>4014826</v>
      </c>
      <c r="E311" s="39">
        <v>0</v>
      </c>
      <c r="F311" s="39">
        <v>0</v>
      </c>
      <c r="G311" s="32">
        <v>0</v>
      </c>
      <c r="H311" s="39">
        <v>0</v>
      </c>
      <c r="I311" s="39">
        <v>0</v>
      </c>
      <c r="J311" s="39">
        <v>0</v>
      </c>
      <c r="K311" s="34">
        <v>2</v>
      </c>
      <c r="L311" s="32">
        <v>3914826</v>
      </c>
      <c r="M311" s="32">
        <v>0</v>
      </c>
      <c r="N311" s="32">
        <v>0</v>
      </c>
      <c r="O311" s="39">
        <v>0</v>
      </c>
      <c r="P311" s="39">
        <v>0</v>
      </c>
      <c r="Q311" s="32">
        <v>0</v>
      </c>
      <c r="R311" s="32">
        <v>0</v>
      </c>
      <c r="S311" s="32">
        <v>0</v>
      </c>
      <c r="T311" s="32">
        <v>0</v>
      </c>
      <c r="U311" s="32">
        <v>0</v>
      </c>
      <c r="V311" s="32">
        <v>0</v>
      </c>
      <c r="W311" s="32">
        <v>0</v>
      </c>
      <c r="X311" s="32">
        <v>0</v>
      </c>
      <c r="Y311" s="32">
        <v>0</v>
      </c>
      <c r="Z311" s="32">
        <v>0</v>
      </c>
      <c r="AA311" s="32">
        <v>0</v>
      </c>
      <c r="AB311" s="32">
        <v>0</v>
      </c>
      <c r="AC311" s="32">
        <v>0</v>
      </c>
      <c r="AD311" s="32">
        <v>100000</v>
      </c>
      <c r="AE311" s="32">
        <v>0</v>
      </c>
      <c r="AF311" s="35">
        <v>2020</v>
      </c>
      <c r="AG311" s="35">
        <v>2020</v>
      </c>
      <c r="AH311" s="36" t="s">
        <v>275</v>
      </c>
      <c r="AT311" s="21" t="e">
        <f t="shared" si="94"/>
        <v>#N/A</v>
      </c>
    </row>
    <row r="312" spans="1:46" ht="61.5" x14ac:dyDescent="0.85">
      <c r="A312" s="21">
        <v>1</v>
      </c>
      <c r="B312" s="70">
        <f>SUBTOTAL(103,$A$22:A312)</f>
        <v>277</v>
      </c>
      <c r="C312" s="25" t="s">
        <v>718</v>
      </c>
      <c r="D312" s="32">
        <f t="shared" si="97"/>
        <v>2717424.7199999997</v>
      </c>
      <c r="E312" s="39">
        <v>0</v>
      </c>
      <c r="F312" s="39">
        <v>0</v>
      </c>
      <c r="G312" s="32">
        <v>0</v>
      </c>
      <c r="H312" s="39">
        <v>0</v>
      </c>
      <c r="I312" s="39">
        <v>0</v>
      </c>
      <c r="J312" s="39">
        <v>0</v>
      </c>
      <c r="K312" s="34">
        <v>0</v>
      </c>
      <c r="L312" s="32">
        <v>0</v>
      </c>
      <c r="M312" s="32">
        <v>520.4</v>
      </c>
      <c r="N312" s="32">
        <f>2529482.48-118226.6</f>
        <v>2411255.88</v>
      </c>
      <c r="O312" s="39">
        <v>0</v>
      </c>
      <c r="P312" s="39">
        <v>0</v>
      </c>
      <c r="Q312" s="32">
        <v>0</v>
      </c>
      <c r="R312" s="32">
        <v>0</v>
      </c>
      <c r="S312" s="32">
        <v>0</v>
      </c>
      <c r="T312" s="32">
        <v>0</v>
      </c>
      <c r="U312" s="32">
        <v>0</v>
      </c>
      <c r="V312" s="32">
        <v>0</v>
      </c>
      <c r="W312" s="32">
        <v>0</v>
      </c>
      <c r="X312" s="32">
        <v>0</v>
      </c>
      <c r="Y312" s="32">
        <v>0</v>
      </c>
      <c r="Z312" s="32">
        <v>0</v>
      </c>
      <c r="AA312" s="32">
        <v>0</v>
      </c>
      <c r="AB312" s="32">
        <v>0</v>
      </c>
      <c r="AC312" s="32">
        <f t="shared" ref="AC312:AC313" si="99">ROUND(N312*1.5%,2)</f>
        <v>36168.839999999997</v>
      </c>
      <c r="AD312" s="32">
        <v>150000</v>
      </c>
      <c r="AE312" s="32">
        <v>120000</v>
      </c>
      <c r="AF312" s="35">
        <v>2020</v>
      </c>
      <c r="AG312" s="35">
        <v>2020</v>
      </c>
      <c r="AH312" s="36">
        <v>2020</v>
      </c>
      <c r="AT312" s="21" t="e">
        <f t="shared" si="94"/>
        <v>#N/A</v>
      </c>
    </row>
    <row r="313" spans="1:46" ht="61.5" x14ac:dyDescent="0.85">
      <c r="A313" s="21">
        <v>1</v>
      </c>
      <c r="B313" s="70">
        <f>SUBTOTAL(103,$A$22:A313)</f>
        <v>278</v>
      </c>
      <c r="C313" s="25" t="s">
        <v>706</v>
      </c>
      <c r="D313" s="32">
        <f t="shared" si="97"/>
        <v>3885966.56</v>
      </c>
      <c r="E313" s="39">
        <v>0</v>
      </c>
      <c r="F313" s="39">
        <v>0</v>
      </c>
      <c r="G313" s="32">
        <v>0</v>
      </c>
      <c r="H313" s="39">
        <v>0</v>
      </c>
      <c r="I313" s="39">
        <v>0</v>
      </c>
      <c r="J313" s="39">
        <v>0</v>
      </c>
      <c r="K313" s="34">
        <v>0</v>
      </c>
      <c r="L313" s="32">
        <v>0</v>
      </c>
      <c r="M313" s="32">
        <v>758.8</v>
      </c>
      <c r="N313" s="32">
        <v>3680755.23</v>
      </c>
      <c r="O313" s="39">
        <v>0</v>
      </c>
      <c r="P313" s="39">
        <v>0</v>
      </c>
      <c r="Q313" s="32">
        <v>0</v>
      </c>
      <c r="R313" s="32">
        <v>0</v>
      </c>
      <c r="S313" s="32">
        <v>0</v>
      </c>
      <c r="T313" s="32">
        <v>0</v>
      </c>
      <c r="U313" s="32">
        <v>0</v>
      </c>
      <c r="V313" s="32">
        <v>0</v>
      </c>
      <c r="W313" s="32">
        <v>0</v>
      </c>
      <c r="X313" s="32">
        <v>0</v>
      </c>
      <c r="Y313" s="32">
        <v>0</v>
      </c>
      <c r="Z313" s="32">
        <v>0</v>
      </c>
      <c r="AA313" s="32">
        <v>0</v>
      </c>
      <c r="AB313" s="32">
        <v>0</v>
      </c>
      <c r="AC313" s="32">
        <f t="shared" si="99"/>
        <v>55211.33</v>
      </c>
      <c r="AD313" s="32">
        <v>150000</v>
      </c>
      <c r="AE313" s="32">
        <v>0</v>
      </c>
      <c r="AF313" s="35">
        <v>2020</v>
      </c>
      <c r="AG313" s="35">
        <v>2020</v>
      </c>
      <c r="AH313" s="36">
        <v>2020</v>
      </c>
      <c r="AT313" s="21" t="e">
        <f t="shared" si="94"/>
        <v>#N/A</v>
      </c>
    </row>
    <row r="314" spans="1:46" ht="61.5" x14ac:dyDescent="0.85">
      <c r="A314" s="21">
        <v>1</v>
      </c>
      <c r="B314" s="70">
        <f>SUBTOTAL(103,$A$22:A314)</f>
        <v>279</v>
      </c>
      <c r="C314" s="25" t="s">
        <v>702</v>
      </c>
      <c r="D314" s="32">
        <f t="shared" si="97"/>
        <v>2213600.19</v>
      </c>
      <c r="E314" s="39">
        <v>0</v>
      </c>
      <c r="F314" s="39">
        <v>0</v>
      </c>
      <c r="G314" s="32">
        <v>0</v>
      </c>
      <c r="H314" s="39">
        <v>0</v>
      </c>
      <c r="I314" s="39">
        <v>0</v>
      </c>
      <c r="J314" s="39">
        <v>0</v>
      </c>
      <c r="K314" s="34">
        <v>0</v>
      </c>
      <c r="L314" s="32">
        <v>0</v>
      </c>
      <c r="M314" s="32">
        <v>0</v>
      </c>
      <c r="N314" s="32">
        <v>0</v>
      </c>
      <c r="O314" s="39">
        <v>0</v>
      </c>
      <c r="P314" s="39">
        <v>0</v>
      </c>
      <c r="Q314" s="32">
        <v>719.43</v>
      </c>
      <c r="R314" s="32">
        <f>2079598.77+101288.12</f>
        <v>2180886.89</v>
      </c>
      <c r="S314" s="32">
        <v>0</v>
      </c>
      <c r="T314" s="32">
        <v>0</v>
      </c>
      <c r="U314" s="32">
        <v>0</v>
      </c>
      <c r="V314" s="32">
        <v>0</v>
      </c>
      <c r="W314" s="32">
        <v>0</v>
      </c>
      <c r="X314" s="32">
        <v>0</v>
      </c>
      <c r="Y314" s="32">
        <v>0</v>
      </c>
      <c r="Z314" s="32">
        <v>0</v>
      </c>
      <c r="AA314" s="32">
        <v>0</v>
      </c>
      <c r="AB314" s="32">
        <v>0</v>
      </c>
      <c r="AC314" s="32">
        <f t="shared" ref="AC314" si="100">ROUND(R314*1.5%,2)</f>
        <v>32713.3</v>
      </c>
      <c r="AD314" s="32">
        <v>0</v>
      </c>
      <c r="AE314" s="32">
        <v>0</v>
      </c>
      <c r="AF314" s="35" t="s">
        <v>275</v>
      </c>
      <c r="AG314" s="35">
        <v>2020</v>
      </c>
      <c r="AH314" s="36">
        <v>2020</v>
      </c>
    </row>
    <row r="315" spans="1:46" ht="61.5" x14ac:dyDescent="0.85">
      <c r="A315" s="21">
        <v>1</v>
      </c>
      <c r="B315" s="70">
        <f>SUBTOTAL(103,$A$22:A315)</f>
        <v>280</v>
      </c>
      <c r="C315" s="25" t="s">
        <v>1288</v>
      </c>
      <c r="D315" s="32">
        <f t="shared" si="97"/>
        <v>1981043.05</v>
      </c>
      <c r="E315" s="39">
        <v>0</v>
      </c>
      <c r="F315" s="39">
        <v>0</v>
      </c>
      <c r="G315" s="32">
        <v>0</v>
      </c>
      <c r="H315" s="39">
        <v>0</v>
      </c>
      <c r="I315" s="39">
        <v>0</v>
      </c>
      <c r="J315" s="39">
        <v>0</v>
      </c>
      <c r="K315" s="34">
        <v>0</v>
      </c>
      <c r="L315" s="32">
        <v>0</v>
      </c>
      <c r="M315" s="32">
        <v>407.8</v>
      </c>
      <c r="N315" s="32">
        <v>1833539.95</v>
      </c>
      <c r="O315" s="39">
        <v>0</v>
      </c>
      <c r="P315" s="39">
        <v>0</v>
      </c>
      <c r="Q315" s="32">
        <v>0</v>
      </c>
      <c r="R315" s="32">
        <v>0</v>
      </c>
      <c r="S315" s="32">
        <v>0</v>
      </c>
      <c r="T315" s="32">
        <v>0</v>
      </c>
      <c r="U315" s="32">
        <v>0</v>
      </c>
      <c r="V315" s="32">
        <v>0</v>
      </c>
      <c r="W315" s="32">
        <v>0</v>
      </c>
      <c r="X315" s="32">
        <v>0</v>
      </c>
      <c r="Y315" s="32">
        <v>0</v>
      </c>
      <c r="Z315" s="32">
        <v>0</v>
      </c>
      <c r="AA315" s="32">
        <v>0</v>
      </c>
      <c r="AB315" s="32">
        <v>0</v>
      </c>
      <c r="AC315" s="32">
        <f t="shared" ref="AC315:AC316" si="101">ROUND(N315*1.5%,2)</f>
        <v>27503.1</v>
      </c>
      <c r="AD315" s="32">
        <v>0</v>
      </c>
      <c r="AE315" s="32">
        <v>120000</v>
      </c>
      <c r="AF315" s="35" t="s">
        <v>275</v>
      </c>
      <c r="AG315" s="35">
        <v>2020</v>
      </c>
      <c r="AH315" s="36">
        <v>2020</v>
      </c>
    </row>
    <row r="316" spans="1:46" ht="61.5" x14ac:dyDescent="0.85">
      <c r="A316" s="21">
        <v>1</v>
      </c>
      <c r="B316" s="70">
        <f>SUBTOTAL(103,$A$22:A316)</f>
        <v>281</v>
      </c>
      <c r="C316" s="25" t="s">
        <v>1289</v>
      </c>
      <c r="D316" s="32">
        <f t="shared" si="97"/>
        <v>4741640.8400000008</v>
      </c>
      <c r="E316" s="39">
        <v>0</v>
      </c>
      <c r="F316" s="39">
        <v>0</v>
      </c>
      <c r="G316" s="32">
        <v>0</v>
      </c>
      <c r="H316" s="39">
        <v>0</v>
      </c>
      <c r="I316" s="39">
        <v>0</v>
      </c>
      <c r="J316" s="39">
        <v>0</v>
      </c>
      <c r="K316" s="34">
        <v>0</v>
      </c>
      <c r="L316" s="32">
        <v>0</v>
      </c>
      <c r="M316" s="32">
        <v>953.5</v>
      </c>
      <c r="N316" s="32">
        <v>4553340.7300000004</v>
      </c>
      <c r="O316" s="39">
        <v>0</v>
      </c>
      <c r="P316" s="39">
        <v>0</v>
      </c>
      <c r="Q316" s="32">
        <v>0</v>
      </c>
      <c r="R316" s="32">
        <v>0</v>
      </c>
      <c r="S316" s="32">
        <v>0</v>
      </c>
      <c r="T316" s="32">
        <v>0</v>
      </c>
      <c r="U316" s="32">
        <v>0</v>
      </c>
      <c r="V316" s="32">
        <v>0</v>
      </c>
      <c r="W316" s="32">
        <v>0</v>
      </c>
      <c r="X316" s="32">
        <v>0</v>
      </c>
      <c r="Y316" s="32">
        <v>0</v>
      </c>
      <c r="Z316" s="32">
        <v>0</v>
      </c>
      <c r="AA316" s="32">
        <v>0</v>
      </c>
      <c r="AB316" s="32">
        <v>0</v>
      </c>
      <c r="AC316" s="32">
        <f t="shared" si="101"/>
        <v>68300.11</v>
      </c>
      <c r="AD316" s="32">
        <v>0</v>
      </c>
      <c r="AE316" s="32">
        <v>120000</v>
      </c>
      <c r="AF316" s="35" t="s">
        <v>275</v>
      </c>
      <c r="AG316" s="35">
        <v>2020</v>
      </c>
      <c r="AH316" s="36">
        <v>2020</v>
      </c>
    </row>
    <row r="317" spans="1:46" ht="61.5" x14ac:dyDescent="0.85">
      <c r="A317" s="21">
        <v>1</v>
      </c>
      <c r="B317" s="70">
        <f>SUBTOTAL(103,$A$22:A317)</f>
        <v>282</v>
      </c>
      <c r="C317" s="25" t="s">
        <v>1294</v>
      </c>
      <c r="D317" s="32">
        <f t="shared" si="97"/>
        <v>7625051.5</v>
      </c>
      <c r="E317" s="39">
        <v>0</v>
      </c>
      <c r="F317" s="39">
        <v>0</v>
      </c>
      <c r="G317" s="32">
        <v>0</v>
      </c>
      <c r="H317" s="39">
        <v>0</v>
      </c>
      <c r="I317" s="39">
        <v>0</v>
      </c>
      <c r="J317" s="39">
        <v>0</v>
      </c>
      <c r="K317" s="34">
        <v>4</v>
      </c>
      <c r="L317" s="32">
        <v>7625051.5</v>
      </c>
      <c r="M317" s="32">
        <v>0</v>
      </c>
      <c r="N317" s="32">
        <v>0</v>
      </c>
      <c r="O317" s="39">
        <v>0</v>
      </c>
      <c r="P317" s="39">
        <v>0</v>
      </c>
      <c r="Q317" s="32">
        <v>0</v>
      </c>
      <c r="R317" s="32">
        <v>0</v>
      </c>
      <c r="S317" s="32">
        <v>0</v>
      </c>
      <c r="T317" s="32">
        <v>0</v>
      </c>
      <c r="U317" s="32">
        <v>0</v>
      </c>
      <c r="V317" s="32">
        <v>0</v>
      </c>
      <c r="W317" s="32">
        <v>0</v>
      </c>
      <c r="X317" s="32">
        <v>0</v>
      </c>
      <c r="Y317" s="32">
        <v>0</v>
      </c>
      <c r="Z317" s="32">
        <v>0</v>
      </c>
      <c r="AA317" s="32">
        <v>0</v>
      </c>
      <c r="AB317" s="32">
        <v>0</v>
      </c>
      <c r="AC317" s="32">
        <v>0</v>
      </c>
      <c r="AD317" s="32">
        <v>0</v>
      </c>
      <c r="AE317" s="32">
        <v>0</v>
      </c>
      <c r="AF317" s="35" t="s">
        <v>275</v>
      </c>
      <c r="AG317" s="35">
        <v>2020</v>
      </c>
      <c r="AH317" s="36" t="s">
        <v>275</v>
      </c>
    </row>
    <row r="318" spans="1:46" ht="61.5" x14ac:dyDescent="0.85">
      <c r="A318" s="21">
        <v>1</v>
      </c>
      <c r="B318" s="70">
        <f>SUBTOTAL(103,$A$22:A318)</f>
        <v>283</v>
      </c>
      <c r="C318" s="25" t="s">
        <v>1295</v>
      </c>
      <c r="D318" s="32">
        <f t="shared" si="97"/>
        <v>964103.66999999993</v>
      </c>
      <c r="E318" s="39">
        <v>0</v>
      </c>
      <c r="F318" s="39">
        <v>0</v>
      </c>
      <c r="G318" s="32">
        <v>0</v>
      </c>
      <c r="H318" s="39">
        <v>0</v>
      </c>
      <c r="I318" s="39">
        <v>0</v>
      </c>
      <c r="J318" s="39">
        <v>0</v>
      </c>
      <c r="K318" s="34">
        <v>0</v>
      </c>
      <c r="L318" s="32">
        <v>0</v>
      </c>
      <c r="M318" s="32">
        <v>0</v>
      </c>
      <c r="N318" s="32">
        <v>0</v>
      </c>
      <c r="O318" s="39">
        <v>0</v>
      </c>
      <c r="P318" s="39">
        <v>0</v>
      </c>
      <c r="Q318" s="32">
        <v>415.14</v>
      </c>
      <c r="R318" s="32">
        <v>949855.83</v>
      </c>
      <c r="S318" s="32">
        <v>0</v>
      </c>
      <c r="T318" s="32">
        <v>0</v>
      </c>
      <c r="U318" s="32">
        <v>0</v>
      </c>
      <c r="V318" s="32">
        <v>0</v>
      </c>
      <c r="W318" s="32">
        <v>0</v>
      </c>
      <c r="X318" s="32">
        <v>0</v>
      </c>
      <c r="Y318" s="32">
        <v>0</v>
      </c>
      <c r="Z318" s="32">
        <v>0</v>
      </c>
      <c r="AA318" s="32">
        <v>0</v>
      </c>
      <c r="AB318" s="32">
        <v>0</v>
      </c>
      <c r="AC318" s="32">
        <f t="shared" ref="AC318:AC319" si="102">ROUND(R318*1.5%,2)</f>
        <v>14247.84</v>
      </c>
      <c r="AD318" s="32">
        <v>0</v>
      </c>
      <c r="AE318" s="32">
        <v>0</v>
      </c>
      <c r="AF318" s="35" t="s">
        <v>275</v>
      </c>
      <c r="AG318" s="35">
        <v>2020</v>
      </c>
      <c r="AH318" s="36">
        <v>2020</v>
      </c>
    </row>
    <row r="319" spans="1:46" ht="61.5" x14ac:dyDescent="0.85">
      <c r="A319" s="21">
        <v>1</v>
      </c>
      <c r="B319" s="70">
        <f>SUBTOTAL(103,$A$22:A319)</f>
        <v>284</v>
      </c>
      <c r="C319" s="25" t="s">
        <v>1296</v>
      </c>
      <c r="D319" s="32">
        <f t="shared" si="97"/>
        <v>1832686.35</v>
      </c>
      <c r="E319" s="39">
        <v>0</v>
      </c>
      <c r="F319" s="39">
        <v>0</v>
      </c>
      <c r="G319" s="32">
        <v>0</v>
      </c>
      <c r="H319" s="39">
        <v>0</v>
      </c>
      <c r="I319" s="39">
        <v>0</v>
      </c>
      <c r="J319" s="39">
        <v>0</v>
      </c>
      <c r="K319" s="34">
        <v>0</v>
      </c>
      <c r="L319" s="32">
        <v>0</v>
      </c>
      <c r="M319" s="32">
        <v>0</v>
      </c>
      <c r="N319" s="32">
        <v>0</v>
      </c>
      <c r="O319" s="39">
        <v>0</v>
      </c>
      <c r="P319" s="39">
        <v>0</v>
      </c>
      <c r="Q319" s="32">
        <v>390.67</v>
      </c>
      <c r="R319" s="32">
        <v>1805602.32</v>
      </c>
      <c r="S319" s="32">
        <v>0</v>
      </c>
      <c r="T319" s="32">
        <v>0</v>
      </c>
      <c r="U319" s="32">
        <v>0</v>
      </c>
      <c r="V319" s="32">
        <v>0</v>
      </c>
      <c r="W319" s="32">
        <v>0</v>
      </c>
      <c r="X319" s="32">
        <v>0</v>
      </c>
      <c r="Y319" s="32">
        <v>0</v>
      </c>
      <c r="Z319" s="32">
        <v>0</v>
      </c>
      <c r="AA319" s="32">
        <v>0</v>
      </c>
      <c r="AB319" s="32">
        <v>0</v>
      </c>
      <c r="AC319" s="32">
        <f t="shared" si="102"/>
        <v>27084.03</v>
      </c>
      <c r="AD319" s="32">
        <v>0</v>
      </c>
      <c r="AE319" s="32">
        <v>0</v>
      </c>
      <c r="AF319" s="35" t="s">
        <v>275</v>
      </c>
      <c r="AG319" s="35">
        <v>2020</v>
      </c>
      <c r="AH319" s="36">
        <v>2020</v>
      </c>
    </row>
    <row r="320" spans="1:46" ht="61.5" x14ac:dyDescent="0.85">
      <c r="A320" s="21">
        <v>1</v>
      </c>
      <c r="B320" s="70">
        <f>SUBTOTAL(103,$A$22:A320)</f>
        <v>285</v>
      </c>
      <c r="C320" s="25" t="s">
        <v>1297</v>
      </c>
      <c r="D320" s="32">
        <f t="shared" si="97"/>
        <v>3647789.2499999995</v>
      </c>
      <c r="E320" s="39">
        <v>0</v>
      </c>
      <c r="F320" s="39">
        <v>0</v>
      </c>
      <c r="G320" s="32">
        <v>0</v>
      </c>
      <c r="H320" s="39">
        <v>0</v>
      </c>
      <c r="I320" s="39">
        <v>0</v>
      </c>
      <c r="J320" s="39">
        <v>0</v>
      </c>
      <c r="K320" s="34">
        <v>0</v>
      </c>
      <c r="L320" s="32">
        <v>0</v>
      </c>
      <c r="M320" s="32">
        <v>725.4</v>
      </c>
      <c r="N320" s="32">
        <v>3507338.7899999996</v>
      </c>
      <c r="O320" s="39">
        <v>0</v>
      </c>
      <c r="P320" s="39">
        <v>0</v>
      </c>
      <c r="Q320" s="32">
        <v>0</v>
      </c>
      <c r="R320" s="32">
        <v>0</v>
      </c>
      <c r="S320" s="32">
        <v>0</v>
      </c>
      <c r="T320" s="32">
        <v>0</v>
      </c>
      <c r="U320" s="32">
        <v>0</v>
      </c>
      <c r="V320" s="32">
        <v>0</v>
      </c>
      <c r="W320" s="32">
        <v>0</v>
      </c>
      <c r="X320" s="32">
        <v>0</v>
      </c>
      <c r="Y320" s="32">
        <v>0</v>
      </c>
      <c r="Z320" s="32">
        <v>0</v>
      </c>
      <c r="AA320" s="32">
        <v>0</v>
      </c>
      <c r="AB320" s="32">
        <v>0</v>
      </c>
      <c r="AC320" s="32">
        <f>ROUND(N320*1.5%,2)</f>
        <v>52610.080000000002</v>
      </c>
      <c r="AD320" s="32">
        <v>87840.38</v>
      </c>
      <c r="AE320" s="32">
        <v>0</v>
      </c>
      <c r="AF320" s="35">
        <v>2020</v>
      </c>
      <c r="AG320" s="35">
        <v>2020</v>
      </c>
      <c r="AH320" s="36">
        <v>2020</v>
      </c>
    </row>
    <row r="321" spans="1:46" ht="61.5" x14ac:dyDescent="0.85">
      <c r="B321" s="25" t="s">
        <v>876</v>
      </c>
      <c r="C321" s="110"/>
      <c r="D321" s="32">
        <f t="shared" ref="D321:AE321" si="103">SUM(D322:D333)</f>
        <v>28193954.82</v>
      </c>
      <c r="E321" s="32">
        <f t="shared" si="103"/>
        <v>362305.35</v>
      </c>
      <c r="F321" s="32">
        <f t="shared" si="103"/>
        <v>0</v>
      </c>
      <c r="G321" s="32">
        <f t="shared" si="103"/>
        <v>0</v>
      </c>
      <c r="H321" s="32">
        <f t="shared" si="103"/>
        <v>632761.12</v>
      </c>
      <c r="I321" s="32">
        <f t="shared" si="103"/>
        <v>2779297.37</v>
      </c>
      <c r="J321" s="32">
        <f t="shared" si="103"/>
        <v>0</v>
      </c>
      <c r="K321" s="34">
        <f t="shared" si="103"/>
        <v>0</v>
      </c>
      <c r="L321" s="32">
        <f t="shared" si="103"/>
        <v>0</v>
      </c>
      <c r="M321" s="32">
        <f t="shared" si="103"/>
        <v>2176.88</v>
      </c>
      <c r="N321" s="32">
        <f t="shared" si="103"/>
        <v>10326009.780000001</v>
      </c>
      <c r="O321" s="32">
        <f t="shared" si="103"/>
        <v>0</v>
      </c>
      <c r="P321" s="32">
        <f t="shared" si="103"/>
        <v>0</v>
      </c>
      <c r="Q321" s="32">
        <f t="shared" si="103"/>
        <v>2691.78</v>
      </c>
      <c r="R321" s="32">
        <f t="shared" si="103"/>
        <v>10917426.51</v>
      </c>
      <c r="S321" s="32">
        <f t="shared" si="103"/>
        <v>84.3</v>
      </c>
      <c r="T321" s="32">
        <f t="shared" si="103"/>
        <v>1917130.74</v>
      </c>
      <c r="U321" s="32">
        <f t="shared" si="103"/>
        <v>0</v>
      </c>
      <c r="V321" s="32">
        <f t="shared" si="103"/>
        <v>0</v>
      </c>
      <c r="W321" s="32">
        <f t="shared" si="103"/>
        <v>0</v>
      </c>
      <c r="X321" s="32">
        <f t="shared" si="103"/>
        <v>0</v>
      </c>
      <c r="Y321" s="32">
        <f t="shared" si="103"/>
        <v>0</v>
      </c>
      <c r="Z321" s="32">
        <f t="shared" si="103"/>
        <v>0</v>
      </c>
      <c r="AA321" s="32">
        <f t="shared" si="103"/>
        <v>0</v>
      </c>
      <c r="AB321" s="32">
        <f t="shared" si="103"/>
        <v>0</v>
      </c>
      <c r="AC321" s="32">
        <f t="shared" si="103"/>
        <v>404023.95</v>
      </c>
      <c r="AD321" s="32">
        <f t="shared" si="103"/>
        <v>735000</v>
      </c>
      <c r="AE321" s="32">
        <f t="shared" si="103"/>
        <v>120000</v>
      </c>
      <c r="AF321" s="77" t="s">
        <v>801</v>
      </c>
      <c r="AG321" s="77" t="s">
        <v>801</v>
      </c>
      <c r="AH321" s="107" t="s">
        <v>801</v>
      </c>
      <c r="AT321" s="21" t="e">
        <f t="shared" ref="AT321:AT327" si="104">VLOOKUP(C321,AW:AX,2,FALSE)</f>
        <v>#N/A</v>
      </c>
    </row>
    <row r="322" spans="1:46" ht="61.5" x14ac:dyDescent="0.85">
      <c r="A322" s="21">
        <v>1</v>
      </c>
      <c r="B322" s="70">
        <f>SUBTOTAL(103,$A$22:A322)</f>
        <v>286</v>
      </c>
      <c r="C322" s="25" t="s">
        <v>237</v>
      </c>
      <c r="D322" s="32">
        <f t="shared" ref="D322:D333" si="105">E322+F322+G322+H322+I322+J322+L322+N322+P322+R322+T322+U322+V322+W322+X322+Y322+Z322+AA322+AB322+AC322+AD322+AE322</f>
        <v>1625370</v>
      </c>
      <c r="E322" s="32">
        <v>0</v>
      </c>
      <c r="F322" s="32">
        <v>0</v>
      </c>
      <c r="G322" s="32">
        <v>0</v>
      </c>
      <c r="H322" s="32">
        <v>0</v>
      </c>
      <c r="I322" s="32">
        <v>0</v>
      </c>
      <c r="J322" s="32">
        <v>0</v>
      </c>
      <c r="K322" s="34">
        <v>0</v>
      </c>
      <c r="L322" s="32">
        <v>0</v>
      </c>
      <c r="M322" s="32">
        <v>318.7</v>
      </c>
      <c r="N322" s="32">
        <v>1483123.15</v>
      </c>
      <c r="O322" s="32">
        <v>0</v>
      </c>
      <c r="P322" s="32">
        <v>0</v>
      </c>
      <c r="Q322" s="32">
        <v>0</v>
      </c>
      <c r="R322" s="32">
        <v>0</v>
      </c>
      <c r="S322" s="32">
        <v>0</v>
      </c>
      <c r="T322" s="32">
        <v>0</v>
      </c>
      <c r="U322" s="32">
        <v>0</v>
      </c>
      <c r="V322" s="32">
        <v>0</v>
      </c>
      <c r="W322" s="32">
        <v>0</v>
      </c>
      <c r="X322" s="32">
        <v>0</v>
      </c>
      <c r="Y322" s="32">
        <v>0</v>
      </c>
      <c r="Z322" s="32">
        <v>0</v>
      </c>
      <c r="AA322" s="32">
        <v>0</v>
      </c>
      <c r="AB322" s="32">
        <v>0</v>
      </c>
      <c r="AC322" s="32">
        <f>ROUND(N322*1.5%,2)</f>
        <v>22246.85</v>
      </c>
      <c r="AD322" s="32">
        <v>120000</v>
      </c>
      <c r="AE322" s="32">
        <v>0</v>
      </c>
      <c r="AF322" s="35">
        <v>2020</v>
      </c>
      <c r="AG322" s="35">
        <v>2020</v>
      </c>
      <c r="AH322" s="36">
        <v>2020</v>
      </c>
      <c r="AT322" s="21" t="e">
        <f t="shared" si="104"/>
        <v>#N/A</v>
      </c>
    </row>
    <row r="323" spans="1:46" ht="61.5" x14ac:dyDescent="0.85">
      <c r="A323" s="21">
        <v>1</v>
      </c>
      <c r="B323" s="70">
        <f>SUBTOTAL(103,$A$22:A323)</f>
        <v>287</v>
      </c>
      <c r="C323" s="25" t="s">
        <v>239</v>
      </c>
      <c r="D323" s="32">
        <f t="shared" si="105"/>
        <v>2586000</v>
      </c>
      <c r="E323" s="32">
        <v>0</v>
      </c>
      <c r="F323" s="32">
        <v>0</v>
      </c>
      <c r="G323" s="32">
        <v>0</v>
      </c>
      <c r="H323" s="32">
        <v>0</v>
      </c>
      <c r="I323" s="32">
        <v>0</v>
      </c>
      <c r="J323" s="32">
        <v>0</v>
      </c>
      <c r="K323" s="34">
        <v>0</v>
      </c>
      <c r="L323" s="32">
        <v>0</v>
      </c>
      <c r="M323" s="32">
        <v>0</v>
      </c>
      <c r="N323" s="32">
        <v>0</v>
      </c>
      <c r="O323" s="32">
        <v>0</v>
      </c>
      <c r="P323" s="32">
        <v>0</v>
      </c>
      <c r="Q323" s="32">
        <v>449.8</v>
      </c>
      <c r="R323" s="32">
        <f>1694742.15+749592.83</f>
        <v>2444334.98</v>
      </c>
      <c r="S323" s="32">
        <v>0</v>
      </c>
      <c r="T323" s="32">
        <v>0</v>
      </c>
      <c r="U323" s="32">
        <v>0</v>
      </c>
      <c r="V323" s="32">
        <v>0</v>
      </c>
      <c r="W323" s="32">
        <v>0</v>
      </c>
      <c r="X323" s="32">
        <v>0</v>
      </c>
      <c r="Y323" s="32">
        <v>0</v>
      </c>
      <c r="Z323" s="32">
        <v>0</v>
      </c>
      <c r="AA323" s="32">
        <v>0</v>
      </c>
      <c r="AB323" s="32">
        <v>0</v>
      </c>
      <c r="AC323" s="32">
        <f t="shared" ref="AC323" si="106">ROUND(R323*1.5%,2)</f>
        <v>36665.019999999997</v>
      </c>
      <c r="AD323" s="32">
        <v>105000</v>
      </c>
      <c r="AE323" s="32">
        <v>0</v>
      </c>
      <c r="AF323" s="35">
        <v>2020</v>
      </c>
      <c r="AG323" s="35">
        <v>2020</v>
      </c>
      <c r="AH323" s="36">
        <v>2020</v>
      </c>
      <c r="AT323" s="21" t="e">
        <f t="shared" si="104"/>
        <v>#N/A</v>
      </c>
    </row>
    <row r="324" spans="1:46" ht="61.5" x14ac:dyDescent="0.85">
      <c r="A324" s="21">
        <v>1</v>
      </c>
      <c r="B324" s="70">
        <f>SUBTOTAL(103,$A$22:A324)</f>
        <v>288</v>
      </c>
      <c r="C324" s="25" t="s">
        <v>242</v>
      </c>
      <c r="D324" s="32">
        <f t="shared" si="105"/>
        <v>2367930</v>
      </c>
      <c r="E324" s="32">
        <v>0</v>
      </c>
      <c r="F324" s="32">
        <v>0</v>
      </c>
      <c r="G324" s="32">
        <v>0</v>
      </c>
      <c r="H324" s="32">
        <v>0</v>
      </c>
      <c r="I324" s="32">
        <v>0</v>
      </c>
      <c r="J324" s="32">
        <v>0</v>
      </c>
      <c r="K324" s="34">
        <v>0</v>
      </c>
      <c r="L324" s="32">
        <v>0</v>
      </c>
      <c r="M324" s="32">
        <v>464.3</v>
      </c>
      <c r="N324" s="32">
        <v>2214709.36</v>
      </c>
      <c r="O324" s="32">
        <v>0</v>
      </c>
      <c r="P324" s="32">
        <v>0</v>
      </c>
      <c r="Q324" s="32">
        <v>0</v>
      </c>
      <c r="R324" s="32">
        <v>0</v>
      </c>
      <c r="S324" s="32">
        <v>0</v>
      </c>
      <c r="T324" s="32">
        <v>0</v>
      </c>
      <c r="U324" s="32">
        <v>0</v>
      </c>
      <c r="V324" s="32">
        <v>0</v>
      </c>
      <c r="W324" s="32">
        <v>0</v>
      </c>
      <c r="X324" s="32">
        <v>0</v>
      </c>
      <c r="Y324" s="32">
        <v>0</v>
      </c>
      <c r="Z324" s="32">
        <v>0</v>
      </c>
      <c r="AA324" s="32">
        <v>0</v>
      </c>
      <c r="AB324" s="32">
        <v>0</v>
      </c>
      <c r="AC324" s="32">
        <f t="shared" ref="AC324:AC327" si="107">ROUND(N324*1.5%,2)</f>
        <v>33220.639999999999</v>
      </c>
      <c r="AD324" s="32">
        <v>120000</v>
      </c>
      <c r="AE324" s="32">
        <v>0</v>
      </c>
      <c r="AF324" s="35">
        <v>2020</v>
      </c>
      <c r="AG324" s="35">
        <v>2020</v>
      </c>
      <c r="AH324" s="36">
        <v>2020</v>
      </c>
      <c r="AT324" s="21" t="e">
        <f t="shared" si="104"/>
        <v>#N/A</v>
      </c>
    </row>
    <row r="325" spans="1:46" ht="61.5" x14ac:dyDescent="0.85">
      <c r="A325" s="21">
        <v>1</v>
      </c>
      <c r="B325" s="70">
        <f>SUBTOTAL(103,$A$22:A325)</f>
        <v>289</v>
      </c>
      <c r="C325" s="25" t="s">
        <v>243</v>
      </c>
      <c r="D325" s="32">
        <f t="shared" si="105"/>
        <v>1382100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4">
        <v>0</v>
      </c>
      <c r="L325" s="32">
        <v>0</v>
      </c>
      <c r="M325" s="32">
        <v>271</v>
      </c>
      <c r="N325" s="32">
        <v>1243448.28</v>
      </c>
      <c r="O325" s="32">
        <v>0</v>
      </c>
      <c r="P325" s="32">
        <v>0</v>
      </c>
      <c r="Q325" s="32">
        <v>0</v>
      </c>
      <c r="R325" s="32">
        <v>0</v>
      </c>
      <c r="S325" s="32">
        <v>0</v>
      </c>
      <c r="T325" s="32">
        <v>0</v>
      </c>
      <c r="U325" s="32">
        <v>0</v>
      </c>
      <c r="V325" s="32">
        <v>0</v>
      </c>
      <c r="W325" s="32">
        <v>0</v>
      </c>
      <c r="X325" s="32">
        <v>0</v>
      </c>
      <c r="Y325" s="32">
        <v>0</v>
      </c>
      <c r="Z325" s="32">
        <v>0</v>
      </c>
      <c r="AA325" s="32">
        <v>0</v>
      </c>
      <c r="AB325" s="32">
        <v>0</v>
      </c>
      <c r="AC325" s="32">
        <f t="shared" si="107"/>
        <v>18651.72</v>
      </c>
      <c r="AD325" s="32">
        <v>120000</v>
      </c>
      <c r="AE325" s="32">
        <v>0</v>
      </c>
      <c r="AF325" s="35">
        <v>2020</v>
      </c>
      <c r="AG325" s="35">
        <v>2020</v>
      </c>
      <c r="AH325" s="36">
        <v>2020</v>
      </c>
      <c r="AT325" s="21" t="e">
        <f t="shared" si="104"/>
        <v>#N/A</v>
      </c>
    </row>
    <row r="326" spans="1:46" ht="61.5" x14ac:dyDescent="0.85">
      <c r="A326" s="21">
        <v>1</v>
      </c>
      <c r="B326" s="70">
        <f>SUBTOTAL(103,$A$22:A326)</f>
        <v>290</v>
      </c>
      <c r="C326" s="25" t="s">
        <v>238</v>
      </c>
      <c r="D326" s="32">
        <f t="shared" si="105"/>
        <v>1066818</v>
      </c>
      <c r="E326" s="32">
        <v>0</v>
      </c>
      <c r="F326" s="32">
        <v>0</v>
      </c>
      <c r="G326" s="32">
        <v>0</v>
      </c>
      <c r="H326" s="32">
        <v>0</v>
      </c>
      <c r="I326" s="32">
        <v>0</v>
      </c>
      <c r="J326" s="32">
        <v>0</v>
      </c>
      <c r="K326" s="34">
        <v>0</v>
      </c>
      <c r="L326" s="32">
        <v>0</v>
      </c>
      <c r="M326" s="32">
        <v>209.18</v>
      </c>
      <c r="N326" s="32">
        <v>932825.62</v>
      </c>
      <c r="O326" s="32">
        <v>0</v>
      </c>
      <c r="P326" s="32">
        <v>0</v>
      </c>
      <c r="Q326" s="32">
        <v>0</v>
      </c>
      <c r="R326" s="32">
        <v>0</v>
      </c>
      <c r="S326" s="32">
        <v>0</v>
      </c>
      <c r="T326" s="32">
        <v>0</v>
      </c>
      <c r="U326" s="32">
        <v>0</v>
      </c>
      <c r="V326" s="32">
        <v>0</v>
      </c>
      <c r="W326" s="32">
        <v>0</v>
      </c>
      <c r="X326" s="32">
        <v>0</v>
      </c>
      <c r="Y326" s="32">
        <v>0</v>
      </c>
      <c r="Z326" s="32">
        <v>0</v>
      </c>
      <c r="AA326" s="32">
        <v>0</v>
      </c>
      <c r="AB326" s="32">
        <v>0</v>
      </c>
      <c r="AC326" s="32">
        <f t="shared" si="107"/>
        <v>13992.38</v>
      </c>
      <c r="AD326" s="32">
        <v>120000</v>
      </c>
      <c r="AE326" s="32">
        <v>0</v>
      </c>
      <c r="AF326" s="35">
        <v>2020</v>
      </c>
      <c r="AG326" s="35">
        <v>2020</v>
      </c>
      <c r="AH326" s="36">
        <v>2020</v>
      </c>
      <c r="AT326" s="21" t="e">
        <f t="shared" si="104"/>
        <v>#N/A</v>
      </c>
    </row>
    <row r="327" spans="1:46" ht="61.5" x14ac:dyDescent="0.85">
      <c r="A327" s="21">
        <v>1</v>
      </c>
      <c r="B327" s="70">
        <f>SUBTOTAL(103,$A$22:A327)</f>
        <v>291</v>
      </c>
      <c r="C327" s="25" t="s">
        <v>245</v>
      </c>
      <c r="D327" s="32">
        <f t="shared" si="105"/>
        <v>2750940</v>
      </c>
      <c r="E327" s="32">
        <v>0</v>
      </c>
      <c r="F327" s="32">
        <v>0</v>
      </c>
      <c r="G327" s="32">
        <v>0</v>
      </c>
      <c r="H327" s="32">
        <v>0</v>
      </c>
      <c r="I327" s="32">
        <v>0</v>
      </c>
      <c r="J327" s="32">
        <v>0</v>
      </c>
      <c r="K327" s="34">
        <v>0</v>
      </c>
      <c r="L327" s="32">
        <v>0</v>
      </c>
      <c r="M327" s="32">
        <v>539.4</v>
      </c>
      <c r="N327" s="32">
        <v>2562502.46</v>
      </c>
      <c r="O327" s="32">
        <v>0</v>
      </c>
      <c r="P327" s="32">
        <v>0</v>
      </c>
      <c r="Q327" s="32">
        <v>0</v>
      </c>
      <c r="R327" s="32">
        <v>0</v>
      </c>
      <c r="S327" s="32">
        <v>0</v>
      </c>
      <c r="T327" s="32">
        <v>0</v>
      </c>
      <c r="U327" s="32">
        <v>0</v>
      </c>
      <c r="V327" s="32">
        <v>0</v>
      </c>
      <c r="W327" s="32">
        <v>0</v>
      </c>
      <c r="X327" s="32">
        <v>0</v>
      </c>
      <c r="Y327" s="32">
        <v>0</v>
      </c>
      <c r="Z327" s="32">
        <v>0</v>
      </c>
      <c r="AA327" s="32">
        <v>0</v>
      </c>
      <c r="AB327" s="32">
        <v>0</v>
      </c>
      <c r="AC327" s="32">
        <f t="shared" si="107"/>
        <v>38437.54</v>
      </c>
      <c r="AD327" s="32">
        <v>150000</v>
      </c>
      <c r="AE327" s="32">
        <v>0</v>
      </c>
      <c r="AF327" s="35">
        <v>2020</v>
      </c>
      <c r="AG327" s="35">
        <v>2020</v>
      </c>
      <c r="AH327" s="36">
        <v>2020</v>
      </c>
      <c r="AT327" s="21" t="e">
        <f t="shared" si="104"/>
        <v>#N/A</v>
      </c>
    </row>
    <row r="328" spans="1:46" ht="61.5" x14ac:dyDescent="0.85">
      <c r="A328" s="21">
        <v>1</v>
      </c>
      <c r="B328" s="70">
        <f>SUBTOTAL(103,$A$22:A328)</f>
        <v>292</v>
      </c>
      <c r="C328" s="25" t="s">
        <v>1300</v>
      </c>
      <c r="D328" s="32">
        <f t="shared" si="105"/>
        <v>2857556.7199999997</v>
      </c>
      <c r="E328" s="39">
        <v>0</v>
      </c>
      <c r="F328" s="39">
        <v>0</v>
      </c>
      <c r="G328" s="32">
        <v>0</v>
      </c>
      <c r="H328" s="39">
        <v>0</v>
      </c>
      <c r="I328" s="39">
        <v>0</v>
      </c>
      <c r="J328" s="39">
        <v>0</v>
      </c>
      <c r="K328" s="34">
        <v>0</v>
      </c>
      <c r="L328" s="32">
        <v>0</v>
      </c>
      <c r="M328" s="32">
        <v>0</v>
      </c>
      <c r="N328" s="32">
        <v>0</v>
      </c>
      <c r="O328" s="39">
        <v>0</v>
      </c>
      <c r="P328" s="39">
        <v>0</v>
      </c>
      <c r="Q328" s="32">
        <v>677.5</v>
      </c>
      <c r="R328" s="32">
        <v>2815326.82</v>
      </c>
      <c r="S328" s="32">
        <v>0</v>
      </c>
      <c r="T328" s="32">
        <v>0</v>
      </c>
      <c r="U328" s="32">
        <v>0</v>
      </c>
      <c r="V328" s="32">
        <v>0</v>
      </c>
      <c r="W328" s="32">
        <v>0</v>
      </c>
      <c r="X328" s="32">
        <v>0</v>
      </c>
      <c r="Y328" s="32">
        <v>0</v>
      </c>
      <c r="Z328" s="32">
        <v>0</v>
      </c>
      <c r="AA328" s="32">
        <v>0</v>
      </c>
      <c r="AB328" s="32">
        <v>0</v>
      </c>
      <c r="AC328" s="32">
        <f t="shared" ref="AC328" si="108">ROUND(R328*1.5%,2)</f>
        <v>42229.9</v>
      </c>
      <c r="AD328" s="32">
        <v>0</v>
      </c>
      <c r="AE328" s="32">
        <v>0</v>
      </c>
      <c r="AF328" s="35" t="s">
        <v>275</v>
      </c>
      <c r="AG328" s="35">
        <v>2020</v>
      </c>
      <c r="AH328" s="36">
        <v>2020</v>
      </c>
    </row>
    <row r="329" spans="1:46" ht="61.5" x14ac:dyDescent="0.85">
      <c r="A329" s="21">
        <v>1</v>
      </c>
      <c r="B329" s="70">
        <f>SUBTOTAL(103,$A$22:A329)</f>
        <v>293</v>
      </c>
      <c r="C329" s="25" t="s">
        <v>1301</v>
      </c>
      <c r="D329" s="32">
        <f t="shared" si="105"/>
        <v>3830979.3</v>
      </c>
      <c r="E329" s="39">
        <v>362305.35</v>
      </c>
      <c r="F329" s="39">
        <v>0</v>
      </c>
      <c r="G329" s="32">
        <v>0</v>
      </c>
      <c r="H329" s="39">
        <v>632761.12</v>
      </c>
      <c r="I329" s="39">
        <v>2779297.37</v>
      </c>
      <c r="J329" s="39">
        <v>0</v>
      </c>
      <c r="K329" s="34">
        <v>0</v>
      </c>
      <c r="L329" s="32">
        <v>0</v>
      </c>
      <c r="M329" s="32">
        <v>0</v>
      </c>
      <c r="N329" s="32">
        <v>0</v>
      </c>
      <c r="O329" s="39">
        <v>0</v>
      </c>
      <c r="P329" s="39">
        <v>0</v>
      </c>
      <c r="Q329" s="32">
        <v>0</v>
      </c>
      <c r="R329" s="32">
        <v>0</v>
      </c>
      <c r="S329" s="32">
        <v>0</v>
      </c>
      <c r="T329" s="32">
        <v>0</v>
      </c>
      <c r="U329" s="32">
        <v>0</v>
      </c>
      <c r="V329" s="32">
        <v>0</v>
      </c>
      <c r="W329" s="32">
        <v>0</v>
      </c>
      <c r="X329" s="32">
        <v>0</v>
      </c>
      <c r="Y329" s="32">
        <v>0</v>
      </c>
      <c r="Z329" s="32">
        <v>0</v>
      </c>
      <c r="AA329" s="32">
        <v>0</v>
      </c>
      <c r="AB329" s="32">
        <v>0</v>
      </c>
      <c r="AC329" s="32">
        <f t="shared" ref="AC329" si="109">ROUND((E329+F329+G329+H329+I329+J329)*1.5%,2)</f>
        <v>56615.46</v>
      </c>
      <c r="AD329" s="32">
        <v>0</v>
      </c>
      <c r="AE329" s="32">
        <v>0</v>
      </c>
      <c r="AF329" s="35" t="s">
        <v>275</v>
      </c>
      <c r="AG329" s="35">
        <v>2020</v>
      </c>
      <c r="AH329" s="36">
        <v>2020</v>
      </c>
    </row>
    <row r="330" spans="1:46" ht="61.5" x14ac:dyDescent="0.85">
      <c r="A330" s="21">
        <v>1</v>
      </c>
      <c r="B330" s="70">
        <f>SUBTOTAL(103,$A$22:A330)</f>
        <v>294</v>
      </c>
      <c r="C330" s="25" t="s">
        <v>1302</v>
      </c>
      <c r="D330" s="32">
        <f t="shared" si="105"/>
        <v>3691588.77</v>
      </c>
      <c r="E330" s="39">
        <v>0</v>
      </c>
      <c r="F330" s="39">
        <v>0</v>
      </c>
      <c r="G330" s="32">
        <v>0</v>
      </c>
      <c r="H330" s="39">
        <v>0</v>
      </c>
      <c r="I330" s="39">
        <v>0</v>
      </c>
      <c r="J330" s="39">
        <v>0</v>
      </c>
      <c r="K330" s="34">
        <v>0</v>
      </c>
      <c r="L330" s="32">
        <v>0</v>
      </c>
      <c r="M330" s="32">
        <v>0</v>
      </c>
      <c r="N330" s="32">
        <v>0</v>
      </c>
      <c r="O330" s="39">
        <v>0</v>
      </c>
      <c r="P330" s="39">
        <v>0</v>
      </c>
      <c r="Q330" s="32">
        <v>766.41</v>
      </c>
      <c r="R330" s="32">
        <v>3637033.27</v>
      </c>
      <c r="S330" s="32">
        <v>0</v>
      </c>
      <c r="T330" s="32">
        <v>0</v>
      </c>
      <c r="U330" s="32">
        <v>0</v>
      </c>
      <c r="V330" s="32">
        <v>0</v>
      </c>
      <c r="W330" s="32">
        <v>0</v>
      </c>
      <c r="X330" s="32">
        <v>0</v>
      </c>
      <c r="Y330" s="32">
        <v>0</v>
      </c>
      <c r="Z330" s="32">
        <v>0</v>
      </c>
      <c r="AA330" s="32">
        <v>0</v>
      </c>
      <c r="AB330" s="32">
        <v>0</v>
      </c>
      <c r="AC330" s="32">
        <f t="shared" ref="AC330:AC331" si="110">ROUND(R330*1.5%,2)</f>
        <v>54555.5</v>
      </c>
      <c r="AD330" s="32">
        <v>0</v>
      </c>
      <c r="AE330" s="32">
        <v>0</v>
      </c>
      <c r="AF330" s="35" t="s">
        <v>275</v>
      </c>
      <c r="AG330" s="35">
        <v>2020</v>
      </c>
      <c r="AH330" s="36">
        <v>2020</v>
      </c>
    </row>
    <row r="331" spans="1:46" ht="61.5" x14ac:dyDescent="0.85">
      <c r="A331" s="21">
        <v>1</v>
      </c>
      <c r="B331" s="70">
        <f>SUBTOTAL(103,$A$22:A331)</f>
        <v>295</v>
      </c>
      <c r="C331" s="25" t="s">
        <v>1303</v>
      </c>
      <c r="D331" s="32">
        <f t="shared" si="105"/>
        <v>2051042.41</v>
      </c>
      <c r="E331" s="39">
        <v>0</v>
      </c>
      <c r="F331" s="39">
        <v>0</v>
      </c>
      <c r="G331" s="32">
        <v>0</v>
      </c>
      <c r="H331" s="39">
        <v>0</v>
      </c>
      <c r="I331" s="39">
        <v>0</v>
      </c>
      <c r="J331" s="39">
        <v>0</v>
      </c>
      <c r="K331" s="34">
        <v>0</v>
      </c>
      <c r="L331" s="32">
        <v>0</v>
      </c>
      <c r="M331" s="32">
        <v>0</v>
      </c>
      <c r="N331" s="32">
        <v>0</v>
      </c>
      <c r="O331" s="39">
        <v>0</v>
      </c>
      <c r="P331" s="39">
        <v>0</v>
      </c>
      <c r="Q331" s="32">
        <v>798.07</v>
      </c>
      <c r="R331" s="32">
        <v>2020731.44</v>
      </c>
      <c r="S331" s="32">
        <v>0</v>
      </c>
      <c r="T331" s="32">
        <v>0</v>
      </c>
      <c r="U331" s="32">
        <v>0</v>
      </c>
      <c r="V331" s="32">
        <v>0</v>
      </c>
      <c r="W331" s="32">
        <v>0</v>
      </c>
      <c r="X331" s="32">
        <v>0</v>
      </c>
      <c r="Y331" s="32">
        <v>0</v>
      </c>
      <c r="Z331" s="32">
        <v>0</v>
      </c>
      <c r="AA331" s="32">
        <v>0</v>
      </c>
      <c r="AB331" s="32">
        <v>0</v>
      </c>
      <c r="AC331" s="32">
        <f t="shared" si="110"/>
        <v>30310.97</v>
      </c>
      <c r="AD331" s="32">
        <v>0</v>
      </c>
      <c r="AE331" s="32">
        <v>0</v>
      </c>
      <c r="AF331" s="35" t="s">
        <v>275</v>
      </c>
      <c r="AG331" s="35">
        <v>2020</v>
      </c>
      <c r="AH331" s="36">
        <v>2020</v>
      </c>
    </row>
    <row r="332" spans="1:46" ht="61.5" x14ac:dyDescent="0.85">
      <c r="A332" s="21">
        <v>1</v>
      </c>
      <c r="B332" s="70">
        <f>SUBTOTAL(103,$A$22:A332)</f>
        <v>296</v>
      </c>
      <c r="C332" s="25" t="s">
        <v>1304</v>
      </c>
      <c r="D332" s="32">
        <f t="shared" si="105"/>
        <v>1945887.7</v>
      </c>
      <c r="E332" s="39">
        <v>0</v>
      </c>
      <c r="F332" s="39">
        <v>0</v>
      </c>
      <c r="G332" s="32">
        <v>0</v>
      </c>
      <c r="H332" s="39">
        <v>0</v>
      </c>
      <c r="I332" s="39">
        <v>0</v>
      </c>
      <c r="J332" s="39">
        <v>0</v>
      </c>
      <c r="K332" s="34">
        <v>0</v>
      </c>
      <c r="L332" s="32">
        <v>0</v>
      </c>
      <c r="M332" s="32">
        <v>0</v>
      </c>
      <c r="N332" s="32">
        <v>0</v>
      </c>
      <c r="O332" s="39">
        <v>0</v>
      </c>
      <c r="P332" s="39">
        <v>0</v>
      </c>
      <c r="Q332" s="32">
        <v>0</v>
      </c>
      <c r="R332" s="32">
        <v>0</v>
      </c>
      <c r="S332" s="32">
        <v>84.3</v>
      </c>
      <c r="T332" s="32">
        <v>1917130.74</v>
      </c>
      <c r="U332" s="32">
        <v>0</v>
      </c>
      <c r="V332" s="32">
        <v>0</v>
      </c>
      <c r="W332" s="32">
        <v>0</v>
      </c>
      <c r="X332" s="32">
        <v>0</v>
      </c>
      <c r="Y332" s="32">
        <v>0</v>
      </c>
      <c r="Z332" s="32">
        <v>0</v>
      </c>
      <c r="AA332" s="32">
        <v>0</v>
      </c>
      <c r="AB332" s="32">
        <v>0</v>
      </c>
      <c r="AC332" s="32">
        <f>ROUND(T332*1.5%,2)</f>
        <v>28756.959999999999</v>
      </c>
      <c r="AD332" s="32">
        <v>0</v>
      </c>
      <c r="AE332" s="32">
        <v>0</v>
      </c>
      <c r="AF332" s="35" t="s">
        <v>275</v>
      </c>
      <c r="AG332" s="35">
        <v>2020</v>
      </c>
      <c r="AH332" s="36">
        <v>2020</v>
      </c>
    </row>
    <row r="333" spans="1:46" ht="61.5" x14ac:dyDescent="0.85">
      <c r="A333" s="21">
        <v>1</v>
      </c>
      <c r="B333" s="70">
        <f>SUBTOTAL(103,$A$22:A333)</f>
        <v>297</v>
      </c>
      <c r="C333" s="25" t="s">
        <v>1305</v>
      </c>
      <c r="D333" s="32">
        <f t="shared" si="105"/>
        <v>2037741.92</v>
      </c>
      <c r="E333" s="39">
        <v>0</v>
      </c>
      <c r="F333" s="39">
        <v>0</v>
      </c>
      <c r="G333" s="32">
        <v>0</v>
      </c>
      <c r="H333" s="39">
        <v>0</v>
      </c>
      <c r="I333" s="39">
        <v>0</v>
      </c>
      <c r="J333" s="39">
        <v>0</v>
      </c>
      <c r="K333" s="34">
        <v>0</v>
      </c>
      <c r="L333" s="32">
        <v>0</v>
      </c>
      <c r="M333" s="32">
        <v>374.3</v>
      </c>
      <c r="N333" s="32">
        <v>1889400.91</v>
      </c>
      <c r="O333" s="39">
        <v>0</v>
      </c>
      <c r="P333" s="39">
        <v>0</v>
      </c>
      <c r="Q333" s="32">
        <v>0</v>
      </c>
      <c r="R333" s="32">
        <v>0</v>
      </c>
      <c r="S333" s="32">
        <v>0</v>
      </c>
      <c r="T333" s="32">
        <v>0</v>
      </c>
      <c r="U333" s="32">
        <v>0</v>
      </c>
      <c r="V333" s="32">
        <v>0</v>
      </c>
      <c r="W333" s="32">
        <v>0</v>
      </c>
      <c r="X333" s="32">
        <v>0</v>
      </c>
      <c r="Y333" s="32">
        <v>0</v>
      </c>
      <c r="Z333" s="32">
        <v>0</v>
      </c>
      <c r="AA333" s="32">
        <v>0</v>
      </c>
      <c r="AB333" s="32">
        <v>0</v>
      </c>
      <c r="AC333" s="32">
        <f>ROUND(N333*1.5%,2)</f>
        <v>28341.01</v>
      </c>
      <c r="AD333" s="32">
        <v>0</v>
      </c>
      <c r="AE333" s="32">
        <v>120000</v>
      </c>
      <c r="AF333" s="35" t="s">
        <v>275</v>
      </c>
      <c r="AG333" s="35">
        <v>2020</v>
      </c>
      <c r="AH333" s="36">
        <v>2020</v>
      </c>
    </row>
    <row r="334" spans="1:46" ht="61.5" x14ac:dyDescent="0.85">
      <c r="B334" s="25" t="s">
        <v>877</v>
      </c>
      <c r="C334" s="25"/>
      <c r="D334" s="32">
        <f>SUM(D335:D338)</f>
        <v>2484195.4</v>
      </c>
      <c r="E334" s="32">
        <f t="shared" ref="E334:AE334" si="111">SUM(E335:E338)</f>
        <v>0</v>
      </c>
      <c r="F334" s="32">
        <f t="shared" si="111"/>
        <v>0</v>
      </c>
      <c r="G334" s="32">
        <f t="shared" si="111"/>
        <v>0</v>
      </c>
      <c r="H334" s="32">
        <f t="shared" si="111"/>
        <v>268723.52</v>
      </c>
      <c r="I334" s="32">
        <f t="shared" si="111"/>
        <v>0</v>
      </c>
      <c r="J334" s="32">
        <f t="shared" si="111"/>
        <v>0</v>
      </c>
      <c r="K334" s="34">
        <f t="shared" si="111"/>
        <v>0</v>
      </c>
      <c r="L334" s="32">
        <f t="shared" si="111"/>
        <v>0</v>
      </c>
      <c r="M334" s="32">
        <f t="shared" si="111"/>
        <v>0</v>
      </c>
      <c r="N334" s="32">
        <f t="shared" si="111"/>
        <v>0</v>
      </c>
      <c r="O334" s="32">
        <f t="shared" si="111"/>
        <v>0</v>
      </c>
      <c r="P334" s="32">
        <f t="shared" si="111"/>
        <v>0</v>
      </c>
      <c r="Q334" s="32">
        <f t="shared" si="111"/>
        <v>369.1</v>
      </c>
      <c r="R334" s="32">
        <f t="shared" si="111"/>
        <v>1359619.7</v>
      </c>
      <c r="S334" s="32">
        <f t="shared" si="111"/>
        <v>41.6</v>
      </c>
      <c r="T334" s="32">
        <f t="shared" si="111"/>
        <v>395494.61</v>
      </c>
      <c r="U334" s="32">
        <f t="shared" si="111"/>
        <v>0</v>
      </c>
      <c r="V334" s="32">
        <f t="shared" si="111"/>
        <v>0</v>
      </c>
      <c r="W334" s="32">
        <f t="shared" si="111"/>
        <v>0</v>
      </c>
      <c r="X334" s="32">
        <f t="shared" si="111"/>
        <v>0</v>
      </c>
      <c r="Y334" s="32">
        <f t="shared" si="111"/>
        <v>0</v>
      </c>
      <c r="Z334" s="32">
        <f t="shared" si="111"/>
        <v>0</v>
      </c>
      <c r="AA334" s="32">
        <f t="shared" si="111"/>
        <v>0</v>
      </c>
      <c r="AB334" s="32">
        <f t="shared" si="111"/>
        <v>0</v>
      </c>
      <c r="AC334" s="32">
        <f t="shared" si="111"/>
        <v>30357.57</v>
      </c>
      <c r="AD334" s="32">
        <f t="shared" si="111"/>
        <v>430000</v>
      </c>
      <c r="AE334" s="32">
        <f t="shared" si="111"/>
        <v>0</v>
      </c>
      <c r="AF334" s="77" t="s">
        <v>801</v>
      </c>
      <c r="AG334" s="77" t="s">
        <v>801</v>
      </c>
      <c r="AH334" s="107" t="s">
        <v>801</v>
      </c>
      <c r="AT334" s="21" t="e">
        <f>VLOOKUP(C334,AW:AX,2,FALSE)</f>
        <v>#N/A</v>
      </c>
    </row>
    <row r="335" spans="1:46" ht="61.5" x14ac:dyDescent="0.85">
      <c r="A335" s="21">
        <v>1</v>
      </c>
      <c r="B335" s="70">
        <f>SUBTOTAL(103,$A$22:A335)</f>
        <v>298</v>
      </c>
      <c r="C335" s="25" t="s">
        <v>252</v>
      </c>
      <c r="D335" s="32">
        <f t="shared" ref="D335:D337" si="112">E335+F335+G335+H335+I335+J335+L335+N335+P335+R335+T335+U335+V335+W335+X335+Y335+Z335+AA335+AB335+AC335+AD335+AE335</f>
        <v>286559.45999999996</v>
      </c>
      <c r="E335" s="32">
        <v>0</v>
      </c>
      <c r="F335" s="32">
        <v>0</v>
      </c>
      <c r="G335" s="32">
        <v>0</v>
      </c>
      <c r="H335" s="32">
        <v>134541.34</v>
      </c>
      <c r="I335" s="32">
        <v>0</v>
      </c>
      <c r="J335" s="32">
        <v>0</v>
      </c>
      <c r="K335" s="34">
        <v>0</v>
      </c>
      <c r="L335" s="32">
        <v>0</v>
      </c>
      <c r="M335" s="32">
        <v>0</v>
      </c>
      <c r="N335" s="32">
        <v>0</v>
      </c>
      <c r="O335" s="32">
        <v>0</v>
      </c>
      <c r="P335" s="32">
        <v>0</v>
      </c>
      <c r="Q335" s="32">
        <v>0</v>
      </c>
      <c r="R335" s="32">
        <v>0</v>
      </c>
      <c r="S335" s="32">
        <v>0</v>
      </c>
      <c r="T335" s="32">
        <v>0</v>
      </c>
      <c r="U335" s="32">
        <v>0</v>
      </c>
      <c r="V335" s="32">
        <v>0</v>
      </c>
      <c r="W335" s="32">
        <v>0</v>
      </c>
      <c r="X335" s="32">
        <v>0</v>
      </c>
      <c r="Y335" s="32">
        <v>0</v>
      </c>
      <c r="Z335" s="32">
        <v>0</v>
      </c>
      <c r="AA335" s="32">
        <v>0</v>
      </c>
      <c r="AB335" s="32">
        <v>0</v>
      </c>
      <c r="AC335" s="32">
        <f t="shared" ref="AC335:AC336" si="113">ROUND((E335+F335+G335+H335+I335+J335)*1.5%,2)</f>
        <v>2018.12</v>
      </c>
      <c r="AD335" s="32">
        <v>150000</v>
      </c>
      <c r="AE335" s="32">
        <v>0</v>
      </c>
      <c r="AF335" s="35">
        <v>2020</v>
      </c>
      <c r="AG335" s="35">
        <v>2020</v>
      </c>
      <c r="AH335" s="36">
        <v>2020</v>
      </c>
      <c r="AT335" s="21" t="e">
        <f>VLOOKUP(C335,AW:AX,2,FALSE)</f>
        <v>#N/A</v>
      </c>
    </row>
    <row r="336" spans="1:46" ht="61.5" x14ac:dyDescent="0.85">
      <c r="A336" s="21">
        <v>1</v>
      </c>
      <c r="B336" s="70">
        <f>SUBTOTAL(103,$A$22:A336)</f>
        <v>299</v>
      </c>
      <c r="C336" s="25" t="s">
        <v>253</v>
      </c>
      <c r="D336" s="32">
        <f t="shared" si="112"/>
        <v>286194.91000000003</v>
      </c>
      <c r="E336" s="32">
        <v>0</v>
      </c>
      <c r="F336" s="32">
        <v>0</v>
      </c>
      <c r="G336" s="32">
        <v>0</v>
      </c>
      <c r="H336" s="32">
        <v>134182.18</v>
      </c>
      <c r="I336" s="32">
        <v>0</v>
      </c>
      <c r="J336" s="32">
        <v>0</v>
      </c>
      <c r="K336" s="34">
        <v>0</v>
      </c>
      <c r="L336" s="32">
        <v>0</v>
      </c>
      <c r="M336" s="32">
        <v>0</v>
      </c>
      <c r="N336" s="32">
        <v>0</v>
      </c>
      <c r="O336" s="32">
        <v>0</v>
      </c>
      <c r="P336" s="32">
        <v>0</v>
      </c>
      <c r="Q336" s="32">
        <v>0</v>
      </c>
      <c r="R336" s="32">
        <v>0</v>
      </c>
      <c r="S336" s="32">
        <v>0</v>
      </c>
      <c r="T336" s="32">
        <v>0</v>
      </c>
      <c r="U336" s="32">
        <v>0</v>
      </c>
      <c r="V336" s="32">
        <v>0</v>
      </c>
      <c r="W336" s="32">
        <v>0</v>
      </c>
      <c r="X336" s="32">
        <v>0</v>
      </c>
      <c r="Y336" s="32">
        <v>0</v>
      </c>
      <c r="Z336" s="32">
        <v>0</v>
      </c>
      <c r="AA336" s="32">
        <v>0</v>
      </c>
      <c r="AB336" s="32">
        <v>0</v>
      </c>
      <c r="AC336" s="32">
        <f t="shared" si="113"/>
        <v>2012.73</v>
      </c>
      <c r="AD336" s="32">
        <v>150000</v>
      </c>
      <c r="AE336" s="32">
        <v>0</v>
      </c>
      <c r="AF336" s="35">
        <v>2020</v>
      </c>
      <c r="AG336" s="35">
        <v>2020</v>
      </c>
      <c r="AH336" s="36">
        <v>2020</v>
      </c>
      <c r="AT336" s="21" t="e">
        <f>VLOOKUP(C336,AW:AX,2,FALSE)</f>
        <v>#N/A</v>
      </c>
    </row>
    <row r="337" spans="1:46" ht="61.5" x14ac:dyDescent="0.85">
      <c r="A337" s="21">
        <v>1</v>
      </c>
      <c r="B337" s="70">
        <f>SUBTOTAL(103,$A$22:A337)</f>
        <v>300</v>
      </c>
      <c r="C337" s="25" t="s">
        <v>1308</v>
      </c>
      <c r="D337" s="32">
        <f t="shared" si="112"/>
        <v>401427.02999999997</v>
      </c>
      <c r="E337" s="32">
        <v>0</v>
      </c>
      <c r="F337" s="32">
        <v>0</v>
      </c>
      <c r="G337" s="32">
        <v>0</v>
      </c>
      <c r="H337" s="32">
        <v>0</v>
      </c>
      <c r="I337" s="32">
        <v>0</v>
      </c>
      <c r="J337" s="32">
        <v>0</v>
      </c>
      <c r="K337" s="34">
        <v>0</v>
      </c>
      <c r="L337" s="32">
        <v>0</v>
      </c>
      <c r="M337" s="32">
        <v>0</v>
      </c>
      <c r="N337" s="32">
        <v>0</v>
      </c>
      <c r="O337" s="32">
        <v>0</v>
      </c>
      <c r="P337" s="32">
        <v>0</v>
      </c>
      <c r="Q337" s="32">
        <v>0</v>
      </c>
      <c r="R337" s="32">
        <v>0</v>
      </c>
      <c r="S337" s="32">
        <v>41.6</v>
      </c>
      <c r="T337" s="32">
        <v>395494.61</v>
      </c>
      <c r="U337" s="32">
        <v>0</v>
      </c>
      <c r="V337" s="32">
        <v>0</v>
      </c>
      <c r="W337" s="32">
        <v>0</v>
      </c>
      <c r="X337" s="32">
        <v>0</v>
      </c>
      <c r="Y337" s="32">
        <v>0</v>
      </c>
      <c r="Z337" s="32">
        <v>0</v>
      </c>
      <c r="AA337" s="32">
        <v>0</v>
      </c>
      <c r="AB337" s="32">
        <v>0</v>
      </c>
      <c r="AC337" s="32">
        <f>ROUND(T337*1.5%,2)</f>
        <v>5932.42</v>
      </c>
      <c r="AD337" s="32">
        <v>0</v>
      </c>
      <c r="AE337" s="32">
        <v>0</v>
      </c>
      <c r="AF337" s="35" t="s">
        <v>275</v>
      </c>
      <c r="AG337" s="35">
        <v>2020</v>
      </c>
      <c r="AH337" s="36">
        <v>2020</v>
      </c>
    </row>
    <row r="338" spans="1:46" ht="61.5" x14ac:dyDescent="0.85">
      <c r="A338" s="21">
        <v>1</v>
      </c>
      <c r="B338" s="70">
        <f>SUBTOTAL(103,$A$22:A338)</f>
        <v>301</v>
      </c>
      <c r="C338" s="25" t="s">
        <v>250</v>
      </c>
      <c r="D338" s="32">
        <f>E338+F338+G338+H338+I338+J338+L338+N338+P338+R338+T338+U338+V338+W338+X338+Y338+Z338+AA338+AB338+AC338+AD338+AE338</f>
        <v>1510014</v>
      </c>
      <c r="E338" s="32">
        <v>0</v>
      </c>
      <c r="F338" s="32">
        <v>0</v>
      </c>
      <c r="G338" s="32">
        <v>0</v>
      </c>
      <c r="H338" s="32">
        <v>0</v>
      </c>
      <c r="I338" s="32">
        <v>0</v>
      </c>
      <c r="J338" s="32">
        <v>0</v>
      </c>
      <c r="K338" s="34">
        <v>0</v>
      </c>
      <c r="L338" s="32">
        <v>0</v>
      </c>
      <c r="M338" s="32">
        <v>0</v>
      </c>
      <c r="N338" s="32">
        <v>0</v>
      </c>
      <c r="O338" s="32">
        <v>0</v>
      </c>
      <c r="P338" s="32">
        <v>0</v>
      </c>
      <c r="Q338" s="32">
        <v>369.1</v>
      </c>
      <c r="R338" s="32">
        <v>1359619.7</v>
      </c>
      <c r="S338" s="32">
        <v>0</v>
      </c>
      <c r="T338" s="32">
        <v>0</v>
      </c>
      <c r="U338" s="32">
        <v>0</v>
      </c>
      <c r="V338" s="32">
        <v>0</v>
      </c>
      <c r="W338" s="32">
        <v>0</v>
      </c>
      <c r="X338" s="32">
        <v>0</v>
      </c>
      <c r="Y338" s="32">
        <v>0</v>
      </c>
      <c r="Z338" s="32">
        <v>0</v>
      </c>
      <c r="AA338" s="32">
        <v>0</v>
      </c>
      <c r="AB338" s="32">
        <v>0</v>
      </c>
      <c r="AC338" s="32">
        <f>ROUND(R338*1.5%,2)</f>
        <v>20394.3</v>
      </c>
      <c r="AD338" s="32">
        <v>130000</v>
      </c>
      <c r="AE338" s="32">
        <v>0</v>
      </c>
      <c r="AF338" s="35">
        <v>2020</v>
      </c>
      <c r="AG338" s="35">
        <v>2020</v>
      </c>
      <c r="AH338" s="36">
        <v>2020</v>
      </c>
      <c r="AT338" s="21" t="e">
        <f>VLOOKUP(C338,AW:AX,2,FALSE)</f>
        <v>#N/A</v>
      </c>
    </row>
    <row r="339" spans="1:46" ht="61.5" x14ac:dyDescent="0.85">
      <c r="B339" s="25" t="s">
        <v>878</v>
      </c>
      <c r="C339" s="25"/>
      <c r="D339" s="32">
        <f>SUM(D340:D342)</f>
        <v>5532352.54</v>
      </c>
      <c r="E339" s="32">
        <f t="shared" ref="E339:AE339" si="114">SUM(E340:E342)</f>
        <v>0</v>
      </c>
      <c r="F339" s="32">
        <f t="shared" si="114"/>
        <v>0</v>
      </c>
      <c r="G339" s="32">
        <f t="shared" si="114"/>
        <v>0</v>
      </c>
      <c r="H339" s="32">
        <f t="shared" si="114"/>
        <v>0</v>
      </c>
      <c r="I339" s="32">
        <f t="shared" si="114"/>
        <v>0</v>
      </c>
      <c r="J339" s="32">
        <f t="shared" si="114"/>
        <v>0</v>
      </c>
      <c r="K339" s="34">
        <f t="shared" si="114"/>
        <v>0</v>
      </c>
      <c r="L339" s="32">
        <f t="shared" si="114"/>
        <v>0</v>
      </c>
      <c r="M339" s="32">
        <f t="shared" si="114"/>
        <v>0</v>
      </c>
      <c r="N339" s="32">
        <f t="shared" si="114"/>
        <v>0</v>
      </c>
      <c r="O339" s="32">
        <f t="shared" si="114"/>
        <v>0</v>
      </c>
      <c r="P339" s="32">
        <f t="shared" si="114"/>
        <v>0</v>
      </c>
      <c r="Q339" s="32">
        <f t="shared" si="114"/>
        <v>1645.74</v>
      </c>
      <c r="R339" s="32">
        <f t="shared" si="114"/>
        <v>5322514.8199999994</v>
      </c>
      <c r="S339" s="32">
        <f t="shared" si="114"/>
        <v>0</v>
      </c>
      <c r="T339" s="32">
        <f t="shared" si="114"/>
        <v>0</v>
      </c>
      <c r="U339" s="32">
        <f t="shared" si="114"/>
        <v>0</v>
      </c>
      <c r="V339" s="32">
        <f t="shared" si="114"/>
        <v>0</v>
      </c>
      <c r="W339" s="32">
        <f t="shared" si="114"/>
        <v>0</v>
      </c>
      <c r="X339" s="32">
        <f t="shared" si="114"/>
        <v>0</v>
      </c>
      <c r="Y339" s="32">
        <f t="shared" si="114"/>
        <v>0</v>
      </c>
      <c r="Z339" s="32">
        <f t="shared" si="114"/>
        <v>0</v>
      </c>
      <c r="AA339" s="32">
        <f t="shared" si="114"/>
        <v>0</v>
      </c>
      <c r="AB339" s="32">
        <f t="shared" si="114"/>
        <v>0</v>
      </c>
      <c r="AC339" s="32">
        <f t="shared" si="114"/>
        <v>79837.72</v>
      </c>
      <c r="AD339" s="32">
        <f t="shared" si="114"/>
        <v>130000</v>
      </c>
      <c r="AE339" s="32">
        <f t="shared" si="114"/>
        <v>0</v>
      </c>
      <c r="AF339" s="77" t="s">
        <v>801</v>
      </c>
      <c r="AG339" s="77" t="s">
        <v>801</v>
      </c>
      <c r="AH339" s="107" t="s">
        <v>801</v>
      </c>
      <c r="AT339" s="21" t="e">
        <f>VLOOKUP(C339,AW:AX,2,FALSE)</f>
        <v>#N/A</v>
      </c>
    </row>
    <row r="340" spans="1:46" ht="61.5" x14ac:dyDescent="0.85">
      <c r="A340" s="21">
        <v>1</v>
      </c>
      <c r="B340" s="70">
        <f>SUBTOTAL(103,$A$22:A340)</f>
        <v>302</v>
      </c>
      <c r="C340" s="25" t="s">
        <v>247</v>
      </c>
      <c r="D340" s="32">
        <f t="shared" ref="D340:D342" si="115">E340+F340+G340+H340+I340+J340+L340+N340+P340+R340+T340+U340+V340+W340+X340+Y340+Z340+AA340+AB340+AC340+AD340+AE340</f>
        <v>1765119.99</v>
      </c>
      <c r="E340" s="32">
        <v>0</v>
      </c>
      <c r="F340" s="32">
        <v>0</v>
      </c>
      <c r="G340" s="32">
        <v>0</v>
      </c>
      <c r="H340" s="32">
        <v>0</v>
      </c>
      <c r="I340" s="32">
        <v>0</v>
      </c>
      <c r="J340" s="32">
        <v>0</v>
      </c>
      <c r="K340" s="34">
        <v>0</v>
      </c>
      <c r="L340" s="32">
        <v>0</v>
      </c>
      <c r="M340" s="32">
        <v>0</v>
      </c>
      <c r="N340" s="32">
        <v>0</v>
      </c>
      <c r="O340" s="32">
        <v>0</v>
      </c>
      <c r="P340" s="32">
        <v>0</v>
      </c>
      <c r="Q340" s="32">
        <v>490.6</v>
      </c>
      <c r="R340" s="32">
        <v>1610955.66</v>
      </c>
      <c r="S340" s="32">
        <v>0</v>
      </c>
      <c r="T340" s="32">
        <v>0</v>
      </c>
      <c r="U340" s="32">
        <v>0</v>
      </c>
      <c r="V340" s="32">
        <v>0</v>
      </c>
      <c r="W340" s="32">
        <v>0</v>
      </c>
      <c r="X340" s="32">
        <v>0</v>
      </c>
      <c r="Y340" s="32">
        <v>0</v>
      </c>
      <c r="Z340" s="32">
        <v>0</v>
      </c>
      <c r="AA340" s="32">
        <v>0</v>
      </c>
      <c r="AB340" s="32">
        <v>0</v>
      </c>
      <c r="AC340" s="32">
        <f t="shared" ref="AC340:AC342" si="116">ROUND(R340*1.5%,2)</f>
        <v>24164.33</v>
      </c>
      <c r="AD340" s="32">
        <v>130000</v>
      </c>
      <c r="AE340" s="32">
        <v>0</v>
      </c>
      <c r="AF340" s="35">
        <v>2020</v>
      </c>
      <c r="AG340" s="35">
        <v>2020</v>
      </c>
      <c r="AH340" s="36">
        <v>2020</v>
      </c>
      <c r="AT340" s="21" t="e">
        <f>VLOOKUP(C340,AW:AX,2,FALSE)</f>
        <v>#N/A</v>
      </c>
    </row>
    <row r="341" spans="1:46" ht="61.5" x14ac:dyDescent="0.85">
      <c r="A341" s="21">
        <v>1</v>
      </c>
      <c r="B341" s="70">
        <f>SUBTOTAL(103,$A$22:A341)</f>
        <v>303</v>
      </c>
      <c r="C341" s="25" t="s">
        <v>1306</v>
      </c>
      <c r="D341" s="32">
        <f t="shared" si="115"/>
        <v>2476874.58</v>
      </c>
      <c r="E341" s="39">
        <v>0</v>
      </c>
      <c r="F341" s="39">
        <v>0</v>
      </c>
      <c r="G341" s="32">
        <v>0</v>
      </c>
      <c r="H341" s="39">
        <v>0</v>
      </c>
      <c r="I341" s="39">
        <v>0</v>
      </c>
      <c r="J341" s="39">
        <v>0</v>
      </c>
      <c r="K341" s="34">
        <v>0</v>
      </c>
      <c r="L341" s="32">
        <v>0</v>
      </c>
      <c r="M341" s="32">
        <v>0</v>
      </c>
      <c r="N341" s="32">
        <v>0</v>
      </c>
      <c r="O341" s="39">
        <v>0</v>
      </c>
      <c r="P341" s="39">
        <v>0</v>
      </c>
      <c r="Q341" s="32">
        <v>658.14</v>
      </c>
      <c r="R341" s="32">
        <v>2440270.52</v>
      </c>
      <c r="S341" s="32">
        <v>0</v>
      </c>
      <c r="T341" s="32">
        <v>0</v>
      </c>
      <c r="U341" s="32">
        <v>0</v>
      </c>
      <c r="V341" s="32">
        <v>0</v>
      </c>
      <c r="W341" s="32">
        <v>0</v>
      </c>
      <c r="X341" s="32">
        <v>0</v>
      </c>
      <c r="Y341" s="32">
        <v>0</v>
      </c>
      <c r="Z341" s="32">
        <v>0</v>
      </c>
      <c r="AA341" s="32">
        <v>0</v>
      </c>
      <c r="AB341" s="32">
        <v>0</v>
      </c>
      <c r="AC341" s="32">
        <f t="shared" si="116"/>
        <v>36604.06</v>
      </c>
      <c r="AD341" s="32">
        <v>0</v>
      </c>
      <c r="AE341" s="32">
        <v>0</v>
      </c>
      <c r="AF341" s="35" t="s">
        <v>275</v>
      </c>
      <c r="AG341" s="35">
        <v>2020</v>
      </c>
      <c r="AH341" s="36">
        <v>2020</v>
      </c>
    </row>
    <row r="342" spans="1:46" ht="61.5" x14ac:dyDescent="0.85">
      <c r="A342" s="21">
        <v>1</v>
      </c>
      <c r="B342" s="70">
        <f>SUBTOTAL(103,$A$22:A342)</f>
        <v>304</v>
      </c>
      <c r="C342" s="25" t="s">
        <v>1307</v>
      </c>
      <c r="D342" s="32">
        <f t="shared" si="115"/>
        <v>1290357.97</v>
      </c>
      <c r="E342" s="39">
        <v>0</v>
      </c>
      <c r="F342" s="39">
        <v>0</v>
      </c>
      <c r="G342" s="32">
        <v>0</v>
      </c>
      <c r="H342" s="39">
        <v>0</v>
      </c>
      <c r="I342" s="39">
        <v>0</v>
      </c>
      <c r="J342" s="39">
        <v>0</v>
      </c>
      <c r="K342" s="34">
        <v>0</v>
      </c>
      <c r="L342" s="32">
        <v>0</v>
      </c>
      <c r="M342" s="32">
        <v>0</v>
      </c>
      <c r="N342" s="32">
        <v>0</v>
      </c>
      <c r="O342" s="39">
        <v>0</v>
      </c>
      <c r="P342" s="39">
        <v>0</v>
      </c>
      <c r="Q342" s="32">
        <v>497</v>
      </c>
      <c r="R342" s="32">
        <v>1271288.6399999999</v>
      </c>
      <c r="S342" s="32">
        <v>0</v>
      </c>
      <c r="T342" s="32">
        <v>0</v>
      </c>
      <c r="U342" s="32">
        <v>0</v>
      </c>
      <c r="V342" s="32">
        <v>0</v>
      </c>
      <c r="W342" s="32">
        <v>0</v>
      </c>
      <c r="X342" s="32">
        <v>0</v>
      </c>
      <c r="Y342" s="32">
        <v>0</v>
      </c>
      <c r="Z342" s="32">
        <v>0</v>
      </c>
      <c r="AA342" s="32">
        <v>0</v>
      </c>
      <c r="AB342" s="32">
        <v>0</v>
      </c>
      <c r="AC342" s="32">
        <f t="shared" si="116"/>
        <v>19069.330000000002</v>
      </c>
      <c r="AD342" s="32">
        <v>0</v>
      </c>
      <c r="AE342" s="32">
        <v>0</v>
      </c>
      <c r="AF342" s="35" t="s">
        <v>275</v>
      </c>
      <c r="AG342" s="35">
        <v>2020</v>
      </c>
      <c r="AH342" s="36">
        <v>2020</v>
      </c>
    </row>
    <row r="343" spans="1:46" ht="61.5" x14ac:dyDescent="0.85">
      <c r="B343" s="25" t="s">
        <v>879</v>
      </c>
      <c r="C343" s="111"/>
      <c r="D343" s="31">
        <f>SUM(D344:D345)</f>
        <v>7323302.0899999999</v>
      </c>
      <c r="E343" s="31">
        <f t="shared" ref="E343:AE343" si="117">SUM(E344:E345)</f>
        <v>0</v>
      </c>
      <c r="F343" s="31">
        <f t="shared" si="117"/>
        <v>0</v>
      </c>
      <c r="G343" s="31">
        <f t="shared" si="117"/>
        <v>0</v>
      </c>
      <c r="H343" s="31">
        <f t="shared" si="117"/>
        <v>0</v>
      </c>
      <c r="I343" s="31">
        <f t="shared" si="117"/>
        <v>0</v>
      </c>
      <c r="J343" s="31">
        <f t="shared" si="117"/>
        <v>0</v>
      </c>
      <c r="K343" s="106">
        <f t="shared" si="117"/>
        <v>0</v>
      </c>
      <c r="L343" s="31">
        <f t="shared" si="117"/>
        <v>0</v>
      </c>
      <c r="M343" s="31">
        <f t="shared" si="117"/>
        <v>1255.04</v>
      </c>
      <c r="N343" s="31">
        <f t="shared" si="117"/>
        <v>7067292.6999999993</v>
      </c>
      <c r="O343" s="31">
        <f t="shared" si="117"/>
        <v>0</v>
      </c>
      <c r="P343" s="31">
        <f t="shared" si="117"/>
        <v>0</v>
      </c>
      <c r="Q343" s="31">
        <f t="shared" si="117"/>
        <v>0</v>
      </c>
      <c r="R343" s="31">
        <f t="shared" si="117"/>
        <v>0</v>
      </c>
      <c r="S343" s="31">
        <f t="shared" si="117"/>
        <v>0</v>
      </c>
      <c r="T343" s="31">
        <f t="shared" si="117"/>
        <v>0</v>
      </c>
      <c r="U343" s="31">
        <f t="shared" si="117"/>
        <v>0</v>
      </c>
      <c r="V343" s="31">
        <f t="shared" si="117"/>
        <v>0</v>
      </c>
      <c r="W343" s="31">
        <f t="shared" si="117"/>
        <v>0</v>
      </c>
      <c r="X343" s="31">
        <f t="shared" si="117"/>
        <v>0</v>
      </c>
      <c r="Y343" s="31">
        <f t="shared" si="117"/>
        <v>0</v>
      </c>
      <c r="Z343" s="31">
        <f t="shared" si="117"/>
        <v>0</v>
      </c>
      <c r="AA343" s="31">
        <f t="shared" si="117"/>
        <v>0</v>
      </c>
      <c r="AB343" s="31">
        <f t="shared" si="117"/>
        <v>0</v>
      </c>
      <c r="AC343" s="31">
        <f t="shared" si="117"/>
        <v>106009.39</v>
      </c>
      <c r="AD343" s="31">
        <f t="shared" si="117"/>
        <v>150000</v>
      </c>
      <c r="AE343" s="31">
        <f t="shared" si="117"/>
        <v>0</v>
      </c>
      <c r="AF343" s="77" t="s">
        <v>801</v>
      </c>
      <c r="AG343" s="77" t="s">
        <v>801</v>
      </c>
      <c r="AH343" s="107" t="s">
        <v>801</v>
      </c>
      <c r="AT343" s="21" t="e">
        <f>VLOOKUP(C343,AW:AX,2,FALSE)</f>
        <v>#N/A</v>
      </c>
    </row>
    <row r="344" spans="1:46" ht="61.5" x14ac:dyDescent="0.85">
      <c r="A344" s="21">
        <v>1</v>
      </c>
      <c r="B344" s="70">
        <f>SUBTOTAL(103,$A$22:A344)</f>
        <v>305</v>
      </c>
      <c r="C344" s="26" t="s">
        <v>0</v>
      </c>
      <c r="D344" s="32">
        <f t="shared" ref="D344:D345" si="118">E344+F344+G344+H344+I344+J344+L344+N344+P344+R344+T344+U344+V344+W344+X344+Y344+Z344+AA344+AB344+AC344+AD344+AE344</f>
        <v>3718130.24</v>
      </c>
      <c r="E344" s="32">
        <v>0</v>
      </c>
      <c r="F344" s="32">
        <v>0</v>
      </c>
      <c r="G344" s="32">
        <v>0</v>
      </c>
      <c r="H344" s="32">
        <v>0</v>
      </c>
      <c r="I344" s="32">
        <v>0</v>
      </c>
      <c r="J344" s="32">
        <v>0</v>
      </c>
      <c r="K344" s="34">
        <v>0</v>
      </c>
      <c r="L344" s="32">
        <v>0</v>
      </c>
      <c r="M344" s="32">
        <v>618.4</v>
      </c>
      <c r="N344" s="32">
        <f>3207009.55+456172.95</f>
        <v>3663182.5</v>
      </c>
      <c r="O344" s="32">
        <v>0</v>
      </c>
      <c r="P344" s="32">
        <v>0</v>
      </c>
      <c r="Q344" s="32">
        <v>0</v>
      </c>
      <c r="R344" s="32">
        <v>0</v>
      </c>
      <c r="S344" s="32">
        <v>0</v>
      </c>
      <c r="T344" s="32">
        <v>0</v>
      </c>
      <c r="U344" s="32">
        <v>0</v>
      </c>
      <c r="V344" s="32">
        <v>0</v>
      </c>
      <c r="W344" s="32">
        <v>0</v>
      </c>
      <c r="X344" s="32">
        <v>0</v>
      </c>
      <c r="Y344" s="32">
        <v>0</v>
      </c>
      <c r="Z344" s="32">
        <v>0</v>
      </c>
      <c r="AA344" s="32">
        <v>0</v>
      </c>
      <c r="AB344" s="32">
        <v>0</v>
      </c>
      <c r="AC344" s="32">
        <f t="shared" ref="AC344:AC345" si="119">ROUND(N344*1.5%,2)</f>
        <v>54947.74</v>
      </c>
      <c r="AD344" s="32">
        <v>0</v>
      </c>
      <c r="AE344" s="32">
        <v>0</v>
      </c>
      <c r="AF344" s="35" t="s">
        <v>275</v>
      </c>
      <c r="AG344" s="35">
        <v>2020</v>
      </c>
      <c r="AH344" s="36">
        <v>2020</v>
      </c>
      <c r="AT344" s="21" t="e">
        <f>VLOOKUP(C344,AW:AX,2,FALSE)</f>
        <v>#N/A</v>
      </c>
    </row>
    <row r="345" spans="1:46" ht="61.5" x14ac:dyDescent="0.85">
      <c r="A345" s="21">
        <v>1</v>
      </c>
      <c r="B345" s="70">
        <f>SUBTOTAL(103,$A$22:A345)</f>
        <v>306</v>
      </c>
      <c r="C345" s="25" t="s">
        <v>5</v>
      </c>
      <c r="D345" s="32">
        <f t="shared" si="118"/>
        <v>3605171.8499999996</v>
      </c>
      <c r="E345" s="32">
        <v>0</v>
      </c>
      <c r="F345" s="32">
        <v>0</v>
      </c>
      <c r="G345" s="32">
        <v>0</v>
      </c>
      <c r="H345" s="32">
        <v>0</v>
      </c>
      <c r="I345" s="32">
        <v>0</v>
      </c>
      <c r="J345" s="32">
        <v>0</v>
      </c>
      <c r="K345" s="34">
        <v>0</v>
      </c>
      <c r="L345" s="32">
        <v>0</v>
      </c>
      <c r="M345" s="32">
        <v>636.64</v>
      </c>
      <c r="N345" s="32">
        <f>3127494.34+147783.25+128832.61</f>
        <v>3404110.1999999997</v>
      </c>
      <c r="O345" s="32">
        <v>0</v>
      </c>
      <c r="P345" s="32">
        <v>0</v>
      </c>
      <c r="Q345" s="32">
        <v>0</v>
      </c>
      <c r="R345" s="32">
        <v>0</v>
      </c>
      <c r="S345" s="32">
        <v>0</v>
      </c>
      <c r="T345" s="32">
        <v>0</v>
      </c>
      <c r="U345" s="32">
        <v>0</v>
      </c>
      <c r="V345" s="32">
        <v>0</v>
      </c>
      <c r="W345" s="32">
        <v>0</v>
      </c>
      <c r="X345" s="32">
        <v>0</v>
      </c>
      <c r="Y345" s="32">
        <v>0</v>
      </c>
      <c r="Z345" s="32">
        <v>0</v>
      </c>
      <c r="AA345" s="32">
        <v>0</v>
      </c>
      <c r="AB345" s="32">
        <v>0</v>
      </c>
      <c r="AC345" s="32">
        <f t="shared" si="119"/>
        <v>51061.65</v>
      </c>
      <c r="AD345" s="32">
        <v>150000</v>
      </c>
      <c r="AE345" s="32">
        <v>0</v>
      </c>
      <c r="AF345" s="35">
        <v>2020</v>
      </c>
      <c r="AG345" s="35">
        <v>2020</v>
      </c>
      <c r="AH345" s="36">
        <v>2020</v>
      </c>
      <c r="AT345" s="21" t="e">
        <f>VLOOKUP(C345,AW:AX,2,FALSE)</f>
        <v>#N/A</v>
      </c>
    </row>
    <row r="346" spans="1:46" ht="61.5" x14ac:dyDescent="0.85">
      <c r="B346" s="25" t="s">
        <v>880</v>
      </c>
      <c r="C346" s="110"/>
      <c r="D346" s="32">
        <f>SUM(D347:D348)</f>
        <v>9157411.8499999996</v>
      </c>
      <c r="E346" s="32">
        <f t="shared" ref="E346:AE346" si="120">SUM(E347:E348)</f>
        <v>0</v>
      </c>
      <c r="F346" s="32">
        <f t="shared" si="120"/>
        <v>0</v>
      </c>
      <c r="G346" s="32">
        <f t="shared" si="120"/>
        <v>8059420.6699999999</v>
      </c>
      <c r="H346" s="32">
        <f t="shared" si="120"/>
        <v>0</v>
      </c>
      <c r="I346" s="32">
        <f t="shared" si="120"/>
        <v>0</v>
      </c>
      <c r="J346" s="32">
        <f t="shared" si="120"/>
        <v>0</v>
      </c>
      <c r="K346" s="34">
        <f t="shared" si="120"/>
        <v>0</v>
      </c>
      <c r="L346" s="32">
        <f t="shared" si="120"/>
        <v>0</v>
      </c>
      <c r="M346" s="32">
        <f t="shared" si="120"/>
        <v>182</v>
      </c>
      <c r="N346" s="32">
        <f t="shared" si="120"/>
        <v>844433.37</v>
      </c>
      <c r="O346" s="32">
        <f t="shared" si="120"/>
        <v>0</v>
      </c>
      <c r="P346" s="32">
        <f t="shared" si="120"/>
        <v>0</v>
      </c>
      <c r="Q346" s="32">
        <f t="shared" si="120"/>
        <v>0</v>
      </c>
      <c r="R346" s="32">
        <f t="shared" si="120"/>
        <v>0</v>
      </c>
      <c r="S346" s="32">
        <f t="shared" si="120"/>
        <v>0</v>
      </c>
      <c r="T346" s="32">
        <f t="shared" si="120"/>
        <v>0</v>
      </c>
      <c r="U346" s="32">
        <f t="shared" si="120"/>
        <v>0</v>
      </c>
      <c r="V346" s="32">
        <f t="shared" si="120"/>
        <v>0</v>
      </c>
      <c r="W346" s="32">
        <f t="shared" si="120"/>
        <v>0</v>
      </c>
      <c r="X346" s="32">
        <f t="shared" si="120"/>
        <v>0</v>
      </c>
      <c r="Y346" s="32">
        <f t="shared" si="120"/>
        <v>0</v>
      </c>
      <c r="Z346" s="32">
        <f t="shared" si="120"/>
        <v>0</v>
      </c>
      <c r="AA346" s="32">
        <f t="shared" si="120"/>
        <v>0</v>
      </c>
      <c r="AB346" s="32">
        <f t="shared" si="120"/>
        <v>0</v>
      </c>
      <c r="AC346" s="32">
        <f t="shared" si="120"/>
        <v>133557.81</v>
      </c>
      <c r="AD346" s="32">
        <f t="shared" si="120"/>
        <v>120000</v>
      </c>
      <c r="AE346" s="32">
        <f t="shared" si="120"/>
        <v>0</v>
      </c>
      <c r="AF346" s="77" t="s">
        <v>801</v>
      </c>
      <c r="AG346" s="77" t="s">
        <v>801</v>
      </c>
      <c r="AH346" s="107" t="s">
        <v>801</v>
      </c>
      <c r="AT346" s="21" t="e">
        <f>VLOOKUP(C346,AW:AX,2,FALSE)</f>
        <v>#N/A</v>
      </c>
    </row>
    <row r="347" spans="1:46" ht="61.5" x14ac:dyDescent="0.85">
      <c r="A347" s="21">
        <v>1</v>
      </c>
      <c r="B347" s="70">
        <f>SUBTOTAL(103,$A$22:A347)</f>
        <v>307</v>
      </c>
      <c r="C347" s="25" t="s">
        <v>741</v>
      </c>
      <c r="D347" s="32">
        <f t="shared" ref="D347:D348" si="121">E347+F347+G347+H347+I347+J347+L347+N347+P347+R347+T347+U347+V347+W347+X347+Y347+Z347+AA347+AB347+AC347+AD347+AE347</f>
        <v>977099.87</v>
      </c>
      <c r="E347" s="32">
        <v>0</v>
      </c>
      <c r="F347" s="32">
        <v>0</v>
      </c>
      <c r="G347" s="32">
        <v>0</v>
      </c>
      <c r="H347" s="32">
        <v>0</v>
      </c>
      <c r="I347" s="32">
        <v>0</v>
      </c>
      <c r="J347" s="32">
        <v>0</v>
      </c>
      <c r="K347" s="34">
        <v>0</v>
      </c>
      <c r="L347" s="32">
        <v>0</v>
      </c>
      <c r="M347" s="32">
        <v>182</v>
      </c>
      <c r="N347" s="32">
        <f>839245.52+5187.85</f>
        <v>844433.37</v>
      </c>
      <c r="O347" s="32">
        <v>0</v>
      </c>
      <c r="P347" s="32">
        <v>0</v>
      </c>
      <c r="Q347" s="32">
        <v>0</v>
      </c>
      <c r="R347" s="32">
        <v>0</v>
      </c>
      <c r="S347" s="32">
        <v>0</v>
      </c>
      <c r="T347" s="32">
        <v>0</v>
      </c>
      <c r="U347" s="32">
        <v>0</v>
      </c>
      <c r="V347" s="32">
        <v>0</v>
      </c>
      <c r="W347" s="32">
        <v>0</v>
      </c>
      <c r="X347" s="32">
        <v>0</v>
      </c>
      <c r="Y347" s="32">
        <v>0</v>
      </c>
      <c r="Z347" s="32">
        <v>0</v>
      </c>
      <c r="AA347" s="32">
        <v>0</v>
      </c>
      <c r="AB347" s="32">
        <v>0</v>
      </c>
      <c r="AC347" s="32">
        <f>ROUND(N347*1.5%,2)</f>
        <v>12666.5</v>
      </c>
      <c r="AD347" s="32">
        <v>120000</v>
      </c>
      <c r="AE347" s="32">
        <v>0</v>
      </c>
      <c r="AF347" s="35">
        <v>2020</v>
      </c>
      <c r="AG347" s="35">
        <v>2020</v>
      </c>
      <c r="AH347" s="36">
        <v>2020</v>
      </c>
      <c r="AT347" s="21" t="e">
        <f>VLOOKUP(C347,AW:AX,2,FALSE)</f>
        <v>#N/A</v>
      </c>
    </row>
    <row r="348" spans="1:46" ht="61.5" x14ac:dyDescent="0.85">
      <c r="A348" s="21">
        <v>1</v>
      </c>
      <c r="B348" s="70">
        <f>SUBTOTAL(103,$A$22:A348)</f>
        <v>308</v>
      </c>
      <c r="C348" s="25" t="s">
        <v>1309</v>
      </c>
      <c r="D348" s="32">
        <f t="shared" si="121"/>
        <v>8180311.9799999995</v>
      </c>
      <c r="E348" s="39">
        <v>0</v>
      </c>
      <c r="F348" s="39">
        <v>0</v>
      </c>
      <c r="G348" s="32">
        <f>8026601.29+32819.38</f>
        <v>8059420.6699999999</v>
      </c>
      <c r="H348" s="39">
        <v>0</v>
      </c>
      <c r="I348" s="39">
        <v>0</v>
      </c>
      <c r="J348" s="39">
        <v>0</v>
      </c>
      <c r="K348" s="34">
        <v>0</v>
      </c>
      <c r="L348" s="32">
        <v>0</v>
      </c>
      <c r="M348" s="32">
        <v>0</v>
      </c>
      <c r="N348" s="32">
        <v>0</v>
      </c>
      <c r="O348" s="39">
        <v>0</v>
      </c>
      <c r="P348" s="39">
        <v>0</v>
      </c>
      <c r="Q348" s="32">
        <v>0</v>
      </c>
      <c r="R348" s="32">
        <v>0</v>
      </c>
      <c r="S348" s="32">
        <v>0</v>
      </c>
      <c r="T348" s="32">
        <v>0</v>
      </c>
      <c r="U348" s="32">
        <v>0</v>
      </c>
      <c r="V348" s="32">
        <v>0</v>
      </c>
      <c r="W348" s="32">
        <v>0</v>
      </c>
      <c r="X348" s="32">
        <v>0</v>
      </c>
      <c r="Y348" s="32">
        <v>0</v>
      </c>
      <c r="Z348" s="32">
        <v>0</v>
      </c>
      <c r="AA348" s="32">
        <v>0</v>
      </c>
      <c r="AB348" s="32">
        <v>0</v>
      </c>
      <c r="AC348" s="32">
        <f t="shared" ref="AC348" si="122">ROUND((E348+F348+G348+H348+I348+J348)*1.5%,2)</f>
        <v>120891.31</v>
      </c>
      <c r="AD348" s="32">
        <v>0</v>
      </c>
      <c r="AE348" s="32">
        <v>0</v>
      </c>
      <c r="AF348" s="35" t="s">
        <v>275</v>
      </c>
      <c r="AG348" s="35">
        <v>2020</v>
      </c>
      <c r="AH348" s="36">
        <v>2020</v>
      </c>
    </row>
    <row r="349" spans="1:46" ht="61.5" x14ac:dyDescent="0.85">
      <c r="B349" s="25" t="s">
        <v>881</v>
      </c>
      <c r="C349" s="25"/>
      <c r="D349" s="32">
        <f>SUM(D350:D351)</f>
        <v>8304834.3399999999</v>
      </c>
      <c r="E349" s="32">
        <f t="shared" ref="E349:AE349" si="123">SUM(E350:E351)</f>
        <v>0</v>
      </c>
      <c r="F349" s="32">
        <f t="shared" si="123"/>
        <v>0</v>
      </c>
      <c r="G349" s="32">
        <f t="shared" si="123"/>
        <v>2021890.91</v>
      </c>
      <c r="H349" s="32">
        <f t="shared" si="123"/>
        <v>812734.29</v>
      </c>
      <c r="I349" s="32">
        <f t="shared" si="123"/>
        <v>0</v>
      </c>
      <c r="J349" s="32">
        <f t="shared" si="123"/>
        <v>0</v>
      </c>
      <c r="K349" s="34">
        <f t="shared" si="123"/>
        <v>0</v>
      </c>
      <c r="L349" s="32">
        <f t="shared" si="123"/>
        <v>0</v>
      </c>
      <c r="M349" s="32">
        <f t="shared" si="123"/>
        <v>1241</v>
      </c>
      <c r="N349" s="32">
        <f t="shared" si="123"/>
        <v>5219398.7799999993</v>
      </c>
      <c r="O349" s="32">
        <f t="shared" si="123"/>
        <v>0</v>
      </c>
      <c r="P349" s="32">
        <f t="shared" si="123"/>
        <v>0</v>
      </c>
      <c r="Q349" s="32">
        <f t="shared" si="123"/>
        <v>0</v>
      </c>
      <c r="R349" s="32">
        <f t="shared" si="123"/>
        <v>0</v>
      </c>
      <c r="S349" s="32">
        <f t="shared" si="123"/>
        <v>0</v>
      </c>
      <c r="T349" s="32">
        <f t="shared" si="123"/>
        <v>0</v>
      </c>
      <c r="U349" s="32">
        <f t="shared" si="123"/>
        <v>0</v>
      </c>
      <c r="V349" s="32">
        <f t="shared" si="123"/>
        <v>0</v>
      </c>
      <c r="W349" s="32">
        <f t="shared" si="123"/>
        <v>0</v>
      </c>
      <c r="X349" s="32">
        <f t="shared" si="123"/>
        <v>0</v>
      </c>
      <c r="Y349" s="32">
        <f t="shared" si="123"/>
        <v>0</v>
      </c>
      <c r="Z349" s="32">
        <f t="shared" si="123"/>
        <v>0</v>
      </c>
      <c r="AA349" s="32">
        <f t="shared" si="123"/>
        <v>0</v>
      </c>
      <c r="AB349" s="32">
        <f t="shared" si="123"/>
        <v>0</v>
      </c>
      <c r="AC349" s="32">
        <f t="shared" si="123"/>
        <v>120810.35999999999</v>
      </c>
      <c r="AD349" s="32">
        <f t="shared" si="123"/>
        <v>130000</v>
      </c>
      <c r="AE349" s="32">
        <f t="shared" si="123"/>
        <v>0</v>
      </c>
      <c r="AF349" s="77" t="s">
        <v>801</v>
      </c>
      <c r="AG349" s="77" t="s">
        <v>801</v>
      </c>
      <c r="AH349" s="107" t="s">
        <v>801</v>
      </c>
      <c r="AT349" s="21" t="e">
        <f>VLOOKUP(C349,AW:AX,2,FALSE)</f>
        <v>#N/A</v>
      </c>
    </row>
    <row r="350" spans="1:46" ht="61.5" x14ac:dyDescent="0.85">
      <c r="A350" s="21">
        <v>1</v>
      </c>
      <c r="B350" s="70">
        <f>SUBTOTAL(103,$A$22:A350)</f>
        <v>309</v>
      </c>
      <c r="C350" s="25" t="s">
        <v>747</v>
      </c>
      <c r="D350" s="32">
        <f t="shared" ref="D350:D351" si="124">E350+F350+G350+H350+I350+J350+L350+N350+P350+R350+T350+U350+V350+W350+X350+Y350+Z350+AA350+AB350+AC350+AD350+AE350</f>
        <v>5427689.7599999998</v>
      </c>
      <c r="E350" s="32">
        <v>0</v>
      </c>
      <c r="F350" s="32">
        <v>0</v>
      </c>
      <c r="G350" s="32">
        <v>0</v>
      </c>
      <c r="H350" s="32">
        <v>0</v>
      </c>
      <c r="I350" s="32">
        <v>0</v>
      </c>
      <c r="J350" s="32">
        <v>0</v>
      </c>
      <c r="K350" s="34">
        <v>0</v>
      </c>
      <c r="L350" s="32">
        <v>0</v>
      </c>
      <c r="M350" s="32">
        <v>1241</v>
      </c>
      <c r="N350" s="32">
        <f>5214210.93+5187.85</f>
        <v>5219398.7799999993</v>
      </c>
      <c r="O350" s="32">
        <v>0</v>
      </c>
      <c r="P350" s="32">
        <v>0</v>
      </c>
      <c r="Q350" s="32">
        <v>0</v>
      </c>
      <c r="R350" s="32">
        <v>0</v>
      </c>
      <c r="S350" s="32">
        <v>0</v>
      </c>
      <c r="T350" s="32">
        <v>0</v>
      </c>
      <c r="U350" s="32">
        <v>0</v>
      </c>
      <c r="V350" s="32">
        <v>0</v>
      </c>
      <c r="W350" s="32">
        <v>0</v>
      </c>
      <c r="X350" s="32">
        <v>0</v>
      </c>
      <c r="Y350" s="32">
        <v>0</v>
      </c>
      <c r="Z350" s="32">
        <v>0</v>
      </c>
      <c r="AA350" s="32">
        <v>0</v>
      </c>
      <c r="AB350" s="32">
        <v>0</v>
      </c>
      <c r="AC350" s="32">
        <f>ROUND(N350*1.5%,2)</f>
        <v>78290.98</v>
      </c>
      <c r="AD350" s="32">
        <v>130000</v>
      </c>
      <c r="AE350" s="32">
        <v>0</v>
      </c>
      <c r="AF350" s="35">
        <v>2020</v>
      </c>
      <c r="AG350" s="35">
        <v>2020</v>
      </c>
      <c r="AH350" s="36">
        <v>2020</v>
      </c>
      <c r="AT350" s="21" t="e">
        <f>VLOOKUP(C350,AW:AX,2,FALSE)</f>
        <v>#N/A</v>
      </c>
    </row>
    <row r="351" spans="1:46" ht="61.5" x14ac:dyDescent="0.85">
      <c r="A351" s="21">
        <v>1</v>
      </c>
      <c r="B351" s="70">
        <f>SUBTOTAL(103,$A$22:A351)</f>
        <v>310</v>
      </c>
      <c r="C351" s="25" t="s">
        <v>1310</v>
      </c>
      <c r="D351" s="32">
        <f t="shared" si="124"/>
        <v>2877144.58</v>
      </c>
      <c r="E351" s="32">
        <v>0</v>
      </c>
      <c r="F351" s="32">
        <v>0</v>
      </c>
      <c r="G351" s="32">
        <v>2021890.91</v>
      </c>
      <c r="H351" s="32">
        <f>545432.23+267302.06</f>
        <v>812734.29</v>
      </c>
      <c r="I351" s="32">
        <v>0</v>
      </c>
      <c r="J351" s="32">
        <v>0</v>
      </c>
      <c r="K351" s="34">
        <v>0</v>
      </c>
      <c r="L351" s="32">
        <v>0</v>
      </c>
      <c r="M351" s="32">
        <v>0</v>
      </c>
      <c r="N351" s="32">
        <v>0</v>
      </c>
      <c r="O351" s="32">
        <v>0</v>
      </c>
      <c r="P351" s="32">
        <v>0</v>
      </c>
      <c r="Q351" s="32">
        <v>0</v>
      </c>
      <c r="R351" s="32">
        <v>0</v>
      </c>
      <c r="S351" s="32">
        <v>0</v>
      </c>
      <c r="T351" s="32">
        <v>0</v>
      </c>
      <c r="U351" s="32">
        <v>0</v>
      </c>
      <c r="V351" s="32">
        <v>0</v>
      </c>
      <c r="W351" s="32">
        <v>0</v>
      </c>
      <c r="X351" s="32">
        <v>0</v>
      </c>
      <c r="Y351" s="32">
        <v>0</v>
      </c>
      <c r="Z351" s="32">
        <v>0</v>
      </c>
      <c r="AA351" s="32">
        <v>0</v>
      </c>
      <c r="AB351" s="32">
        <v>0</v>
      </c>
      <c r="AC351" s="32">
        <f>ROUND((E351+F351+G351+H351+I351+J351)*1.5%,2)</f>
        <v>42519.38</v>
      </c>
      <c r="AD351" s="32">
        <v>0</v>
      </c>
      <c r="AE351" s="32">
        <v>0</v>
      </c>
      <c r="AF351" s="35" t="s">
        <v>275</v>
      </c>
      <c r="AG351" s="35">
        <v>2020</v>
      </c>
      <c r="AH351" s="36">
        <v>2020</v>
      </c>
    </row>
    <row r="352" spans="1:46" ht="61.5" x14ac:dyDescent="0.85">
      <c r="B352" s="25" t="s">
        <v>882</v>
      </c>
      <c r="C352" s="25"/>
      <c r="D352" s="32">
        <f t="shared" ref="D352:AE352" si="125">D353</f>
        <v>5698132.5200000005</v>
      </c>
      <c r="E352" s="32">
        <f t="shared" si="125"/>
        <v>0</v>
      </c>
      <c r="F352" s="32">
        <f t="shared" si="125"/>
        <v>0</v>
      </c>
      <c r="G352" s="32">
        <f t="shared" si="125"/>
        <v>0</v>
      </c>
      <c r="H352" s="32">
        <f t="shared" si="125"/>
        <v>0</v>
      </c>
      <c r="I352" s="32">
        <f t="shared" si="125"/>
        <v>0</v>
      </c>
      <c r="J352" s="32">
        <f t="shared" si="125"/>
        <v>0</v>
      </c>
      <c r="K352" s="34">
        <f t="shared" si="125"/>
        <v>0</v>
      </c>
      <c r="L352" s="32">
        <f t="shared" si="125"/>
        <v>0</v>
      </c>
      <c r="M352" s="32">
        <f t="shared" si="125"/>
        <v>475</v>
      </c>
      <c r="N352" s="32">
        <f t="shared" si="125"/>
        <v>2323080.91</v>
      </c>
      <c r="O352" s="32">
        <f t="shared" si="125"/>
        <v>0</v>
      </c>
      <c r="P352" s="32">
        <f t="shared" si="125"/>
        <v>0</v>
      </c>
      <c r="Q352" s="32">
        <f t="shared" si="125"/>
        <v>605</v>
      </c>
      <c r="R352" s="32">
        <f t="shared" si="125"/>
        <v>3034685.12</v>
      </c>
      <c r="S352" s="32">
        <f t="shared" si="125"/>
        <v>0</v>
      </c>
      <c r="T352" s="32">
        <f t="shared" si="125"/>
        <v>0</v>
      </c>
      <c r="U352" s="32">
        <f t="shared" si="125"/>
        <v>0</v>
      </c>
      <c r="V352" s="32">
        <f t="shared" si="125"/>
        <v>0</v>
      </c>
      <c r="W352" s="32">
        <f t="shared" si="125"/>
        <v>0</v>
      </c>
      <c r="X352" s="32">
        <f t="shared" si="125"/>
        <v>0</v>
      </c>
      <c r="Y352" s="32">
        <f t="shared" si="125"/>
        <v>0</v>
      </c>
      <c r="Z352" s="32">
        <f t="shared" si="125"/>
        <v>0</v>
      </c>
      <c r="AA352" s="32">
        <f t="shared" si="125"/>
        <v>0</v>
      </c>
      <c r="AB352" s="32">
        <f t="shared" si="125"/>
        <v>0</v>
      </c>
      <c r="AC352" s="32">
        <f t="shared" si="125"/>
        <v>80366.490000000005</v>
      </c>
      <c r="AD352" s="32">
        <f t="shared" si="125"/>
        <v>260000</v>
      </c>
      <c r="AE352" s="32">
        <f t="shared" si="125"/>
        <v>0</v>
      </c>
      <c r="AF352" s="77" t="s">
        <v>801</v>
      </c>
      <c r="AG352" s="77" t="s">
        <v>801</v>
      </c>
      <c r="AH352" s="107" t="s">
        <v>801</v>
      </c>
      <c r="AT352" s="21" t="e">
        <f t="shared" ref="AT352:AT361" si="126">VLOOKUP(C352,AW:AX,2,FALSE)</f>
        <v>#N/A</v>
      </c>
    </row>
    <row r="353" spans="1:49" ht="61.5" x14ac:dyDescent="0.85">
      <c r="A353" s="21">
        <v>1</v>
      </c>
      <c r="B353" s="70">
        <f>SUBTOTAL(103,$A$22:A353)</f>
        <v>311</v>
      </c>
      <c r="C353" s="25" t="s">
        <v>846</v>
      </c>
      <c r="D353" s="32">
        <f t="shared" ref="D353" si="127">E353+F353+G353+H353+I353+J353+L353+N353+P353+R353+T353+U353+V353+W353+X353+Y353+Z353+AA353+AB353+AC353+AD353+AE353</f>
        <v>5698132.5200000005</v>
      </c>
      <c r="E353" s="32">
        <v>0</v>
      </c>
      <c r="F353" s="32">
        <v>0</v>
      </c>
      <c r="G353" s="32">
        <v>0</v>
      </c>
      <c r="H353" s="32">
        <v>0</v>
      </c>
      <c r="I353" s="32">
        <v>0</v>
      </c>
      <c r="J353" s="32">
        <v>0</v>
      </c>
      <c r="K353" s="34">
        <v>0</v>
      </c>
      <c r="L353" s="32">
        <v>0</v>
      </c>
      <c r="M353" s="32">
        <v>475</v>
      </c>
      <c r="N353" s="32">
        <v>2323080.91</v>
      </c>
      <c r="O353" s="32">
        <v>0</v>
      </c>
      <c r="P353" s="32">
        <v>0</v>
      </c>
      <c r="Q353" s="32">
        <v>605</v>
      </c>
      <c r="R353" s="32">
        <v>3034685.12</v>
      </c>
      <c r="S353" s="32">
        <v>0</v>
      </c>
      <c r="T353" s="32">
        <v>0</v>
      </c>
      <c r="U353" s="32">
        <v>0</v>
      </c>
      <c r="V353" s="32">
        <v>0</v>
      </c>
      <c r="W353" s="32">
        <v>0</v>
      </c>
      <c r="X353" s="32">
        <v>0</v>
      </c>
      <c r="Y353" s="32">
        <v>0</v>
      </c>
      <c r="Z353" s="32">
        <v>0</v>
      </c>
      <c r="AA353" s="32">
        <v>0</v>
      </c>
      <c r="AB353" s="32">
        <v>0</v>
      </c>
      <c r="AC353" s="32">
        <f>ROUND((N353+R353)*1.5%,2)</f>
        <v>80366.490000000005</v>
      </c>
      <c r="AD353" s="32">
        <v>260000</v>
      </c>
      <c r="AE353" s="32">
        <v>0</v>
      </c>
      <c r="AF353" s="35">
        <v>2020</v>
      </c>
      <c r="AG353" s="35">
        <v>2020</v>
      </c>
      <c r="AH353" s="36">
        <v>2020</v>
      </c>
      <c r="AT353" s="21" t="e">
        <f t="shared" si="126"/>
        <v>#N/A</v>
      </c>
    </row>
    <row r="354" spans="1:49" ht="61.5" x14ac:dyDescent="0.85">
      <c r="B354" s="25" t="s">
        <v>883</v>
      </c>
      <c r="C354" s="110"/>
      <c r="D354" s="32">
        <f>SUM(D355:D368)</f>
        <v>57146342.280000009</v>
      </c>
      <c r="E354" s="32">
        <f t="shared" ref="E354:AE354" si="128">SUM(E355:E368)</f>
        <v>1609506.5299999998</v>
      </c>
      <c r="F354" s="32">
        <f t="shared" si="128"/>
        <v>2188618.85</v>
      </c>
      <c r="G354" s="32">
        <f t="shared" si="128"/>
        <v>6627268.8699999982</v>
      </c>
      <c r="H354" s="32">
        <f t="shared" si="128"/>
        <v>2032038.55</v>
      </c>
      <c r="I354" s="32">
        <f t="shared" si="128"/>
        <v>0</v>
      </c>
      <c r="J354" s="32">
        <f t="shared" si="128"/>
        <v>0</v>
      </c>
      <c r="K354" s="34">
        <f t="shared" si="128"/>
        <v>0</v>
      </c>
      <c r="L354" s="32">
        <f t="shared" si="128"/>
        <v>0</v>
      </c>
      <c r="M354" s="32">
        <f t="shared" si="128"/>
        <v>8332.2999999999993</v>
      </c>
      <c r="N354" s="32">
        <f t="shared" si="128"/>
        <v>35923851.479999997</v>
      </c>
      <c r="O354" s="32">
        <f t="shared" si="128"/>
        <v>0</v>
      </c>
      <c r="P354" s="32">
        <f t="shared" si="128"/>
        <v>0</v>
      </c>
      <c r="Q354" s="32">
        <f t="shared" si="128"/>
        <v>3424.15</v>
      </c>
      <c r="R354" s="32">
        <f t="shared" si="128"/>
        <v>6886048.0199999996</v>
      </c>
      <c r="S354" s="32">
        <f t="shared" si="128"/>
        <v>0</v>
      </c>
      <c r="T354" s="32">
        <f t="shared" si="128"/>
        <v>0</v>
      </c>
      <c r="U354" s="32">
        <f t="shared" si="128"/>
        <v>0</v>
      </c>
      <c r="V354" s="32">
        <f t="shared" si="128"/>
        <v>0</v>
      </c>
      <c r="W354" s="32">
        <f t="shared" si="128"/>
        <v>0</v>
      </c>
      <c r="X354" s="32">
        <f t="shared" si="128"/>
        <v>0</v>
      </c>
      <c r="Y354" s="32">
        <f t="shared" si="128"/>
        <v>0</v>
      </c>
      <c r="Z354" s="32">
        <f t="shared" si="128"/>
        <v>0</v>
      </c>
      <c r="AA354" s="32">
        <f t="shared" si="128"/>
        <v>0</v>
      </c>
      <c r="AB354" s="32">
        <f t="shared" si="128"/>
        <v>0</v>
      </c>
      <c r="AC354" s="32">
        <f t="shared" si="128"/>
        <v>829009.9800000001</v>
      </c>
      <c r="AD354" s="32">
        <f t="shared" si="128"/>
        <v>1050000</v>
      </c>
      <c r="AE354" s="32">
        <f t="shared" si="128"/>
        <v>0</v>
      </c>
      <c r="AF354" s="77" t="s">
        <v>801</v>
      </c>
      <c r="AG354" s="77" t="s">
        <v>801</v>
      </c>
      <c r="AH354" s="107" t="s">
        <v>801</v>
      </c>
      <c r="AT354" s="21" t="e">
        <f t="shared" si="126"/>
        <v>#N/A</v>
      </c>
      <c r="AV354" s="21">
        <v>20654065.649999999</v>
      </c>
      <c r="AW354" s="75">
        <f>AV354-D354</f>
        <v>-36492276.63000001</v>
      </c>
    </row>
    <row r="355" spans="1:49" ht="61.5" x14ac:dyDescent="0.85">
      <c r="A355" s="21">
        <v>1</v>
      </c>
      <c r="B355" s="70">
        <f>SUBTOTAL(103,$A$22:A355)</f>
        <v>312</v>
      </c>
      <c r="C355" s="25" t="s">
        <v>116</v>
      </c>
      <c r="D355" s="32">
        <f t="shared" ref="D355:D368" si="129">E355+F355+G355+H355+I355+J355+L355+N355+P355+R355+T355+U355+V355+W355+X355+Y355+Z355+AA355+AB355+AC355+AD355+AE355</f>
        <v>3325000</v>
      </c>
      <c r="E355" s="32">
        <v>0</v>
      </c>
      <c r="F355" s="32">
        <v>0</v>
      </c>
      <c r="G355" s="32">
        <v>0</v>
      </c>
      <c r="H355" s="32">
        <v>0</v>
      </c>
      <c r="I355" s="32">
        <v>0</v>
      </c>
      <c r="J355" s="32">
        <v>0</v>
      </c>
      <c r="K355" s="34">
        <v>0</v>
      </c>
      <c r="L355" s="32">
        <v>0</v>
      </c>
      <c r="M355" s="32">
        <v>665</v>
      </c>
      <c r="N355" s="32">
        <v>3128078.82</v>
      </c>
      <c r="O355" s="32">
        <v>0</v>
      </c>
      <c r="P355" s="32">
        <v>0</v>
      </c>
      <c r="Q355" s="32">
        <v>0</v>
      </c>
      <c r="R355" s="32">
        <v>0</v>
      </c>
      <c r="S355" s="32">
        <v>0</v>
      </c>
      <c r="T355" s="32">
        <v>0</v>
      </c>
      <c r="U355" s="32">
        <v>0</v>
      </c>
      <c r="V355" s="32">
        <v>0</v>
      </c>
      <c r="W355" s="32">
        <v>0</v>
      </c>
      <c r="X355" s="32">
        <v>0</v>
      </c>
      <c r="Y355" s="32">
        <v>0</v>
      </c>
      <c r="Z355" s="32">
        <v>0</v>
      </c>
      <c r="AA355" s="32">
        <v>0</v>
      </c>
      <c r="AB355" s="32">
        <v>0</v>
      </c>
      <c r="AC355" s="32">
        <f t="shared" ref="AC355:AC358" si="130">ROUND(N355*1.5%,2)</f>
        <v>46921.18</v>
      </c>
      <c r="AD355" s="32">
        <v>150000</v>
      </c>
      <c r="AE355" s="32">
        <v>0</v>
      </c>
      <c r="AF355" s="35">
        <v>2020</v>
      </c>
      <c r="AG355" s="35">
        <v>2020</v>
      </c>
      <c r="AH355" s="36">
        <v>2020</v>
      </c>
      <c r="AT355" s="21" t="e">
        <f t="shared" si="126"/>
        <v>#N/A</v>
      </c>
    </row>
    <row r="356" spans="1:49" ht="61.5" x14ac:dyDescent="0.85">
      <c r="A356" s="21">
        <v>1</v>
      </c>
      <c r="B356" s="70">
        <f>SUBTOTAL(103,$A$22:A356)</f>
        <v>313</v>
      </c>
      <c r="C356" s="25" t="s">
        <v>119</v>
      </c>
      <c r="D356" s="32">
        <f t="shared" si="129"/>
        <v>3106500</v>
      </c>
      <c r="E356" s="32">
        <v>0</v>
      </c>
      <c r="F356" s="32">
        <v>0</v>
      </c>
      <c r="G356" s="32">
        <v>0</v>
      </c>
      <c r="H356" s="32">
        <v>0</v>
      </c>
      <c r="I356" s="32">
        <v>0</v>
      </c>
      <c r="J356" s="32">
        <v>0</v>
      </c>
      <c r="K356" s="34">
        <v>0</v>
      </c>
      <c r="L356" s="32">
        <v>0</v>
      </c>
      <c r="M356" s="32">
        <v>621.29999999999995</v>
      </c>
      <c r="N356" s="32">
        <v>2912807.88</v>
      </c>
      <c r="O356" s="32">
        <v>0</v>
      </c>
      <c r="P356" s="32">
        <v>0</v>
      </c>
      <c r="Q356" s="32">
        <v>0</v>
      </c>
      <c r="R356" s="32">
        <v>0</v>
      </c>
      <c r="S356" s="32">
        <v>0</v>
      </c>
      <c r="T356" s="32">
        <v>0</v>
      </c>
      <c r="U356" s="32">
        <v>0</v>
      </c>
      <c r="V356" s="32">
        <v>0</v>
      </c>
      <c r="W356" s="32">
        <v>0</v>
      </c>
      <c r="X356" s="32">
        <v>0</v>
      </c>
      <c r="Y356" s="32">
        <v>0</v>
      </c>
      <c r="Z356" s="32">
        <v>0</v>
      </c>
      <c r="AA356" s="32">
        <v>0</v>
      </c>
      <c r="AB356" s="32">
        <v>0</v>
      </c>
      <c r="AC356" s="32">
        <f t="shared" si="130"/>
        <v>43692.12</v>
      </c>
      <c r="AD356" s="32">
        <v>150000</v>
      </c>
      <c r="AE356" s="32">
        <v>0</v>
      </c>
      <c r="AF356" s="35">
        <v>2020</v>
      </c>
      <c r="AG356" s="35">
        <v>2020</v>
      </c>
      <c r="AH356" s="36">
        <v>2020</v>
      </c>
      <c r="AT356" s="21" t="e">
        <f t="shared" si="126"/>
        <v>#N/A</v>
      </c>
    </row>
    <row r="357" spans="1:49" ht="61.5" x14ac:dyDescent="0.85">
      <c r="A357" s="21">
        <v>1</v>
      </c>
      <c r="B357" s="70">
        <f>SUBTOTAL(103,$A$22:A357)</f>
        <v>314</v>
      </c>
      <c r="C357" s="25" t="s">
        <v>115</v>
      </c>
      <c r="D357" s="32">
        <f t="shared" si="129"/>
        <v>1617500</v>
      </c>
      <c r="E357" s="32">
        <v>0</v>
      </c>
      <c r="F357" s="32">
        <v>0</v>
      </c>
      <c r="G357" s="32">
        <v>0</v>
      </c>
      <c r="H357" s="32">
        <v>0</v>
      </c>
      <c r="I357" s="32">
        <v>0</v>
      </c>
      <c r="J357" s="32">
        <v>0</v>
      </c>
      <c r="K357" s="34">
        <v>0</v>
      </c>
      <c r="L357" s="32">
        <v>0</v>
      </c>
      <c r="M357" s="32">
        <v>323.5</v>
      </c>
      <c r="N357" s="32">
        <v>1475369.46</v>
      </c>
      <c r="O357" s="32">
        <v>0</v>
      </c>
      <c r="P357" s="32">
        <v>0</v>
      </c>
      <c r="Q357" s="32">
        <v>0</v>
      </c>
      <c r="R357" s="32">
        <v>0</v>
      </c>
      <c r="S357" s="32">
        <v>0</v>
      </c>
      <c r="T357" s="32">
        <v>0</v>
      </c>
      <c r="U357" s="32">
        <v>0</v>
      </c>
      <c r="V357" s="32">
        <v>0</v>
      </c>
      <c r="W357" s="32">
        <v>0</v>
      </c>
      <c r="X357" s="32">
        <v>0</v>
      </c>
      <c r="Y357" s="32">
        <v>0</v>
      </c>
      <c r="Z357" s="32">
        <v>0</v>
      </c>
      <c r="AA357" s="32">
        <v>0</v>
      </c>
      <c r="AB357" s="32">
        <v>0</v>
      </c>
      <c r="AC357" s="32">
        <f t="shared" si="130"/>
        <v>22130.54</v>
      </c>
      <c r="AD357" s="32">
        <v>120000</v>
      </c>
      <c r="AE357" s="32">
        <v>0</v>
      </c>
      <c r="AF357" s="35">
        <v>2020</v>
      </c>
      <c r="AG357" s="35">
        <v>2020</v>
      </c>
      <c r="AH357" s="36">
        <v>2020</v>
      </c>
      <c r="AT357" s="21" t="e">
        <f t="shared" si="126"/>
        <v>#N/A</v>
      </c>
    </row>
    <row r="358" spans="1:49" ht="61.5" x14ac:dyDescent="0.85">
      <c r="A358" s="21">
        <v>1</v>
      </c>
      <c r="B358" s="70">
        <f>SUBTOTAL(103,$A$22:A358)</f>
        <v>315</v>
      </c>
      <c r="C358" s="25" t="s">
        <v>117</v>
      </c>
      <c r="D358" s="32">
        <f t="shared" si="129"/>
        <v>5706572.6400000006</v>
      </c>
      <c r="E358" s="32">
        <v>0</v>
      </c>
      <c r="F358" s="32">
        <v>0</v>
      </c>
      <c r="G358" s="32">
        <v>0</v>
      </c>
      <c r="H358" s="32">
        <v>0</v>
      </c>
      <c r="I358" s="32">
        <v>0</v>
      </c>
      <c r="J358" s="32">
        <v>0</v>
      </c>
      <c r="K358" s="34">
        <v>0</v>
      </c>
      <c r="L358" s="32">
        <v>0</v>
      </c>
      <c r="M358" s="32">
        <v>1238.2</v>
      </c>
      <c r="N358" s="32">
        <f>5324899.15+120000</f>
        <v>5444899.1500000004</v>
      </c>
      <c r="O358" s="32">
        <v>0</v>
      </c>
      <c r="P358" s="32">
        <v>0</v>
      </c>
      <c r="Q358" s="32">
        <v>0</v>
      </c>
      <c r="R358" s="32">
        <v>0</v>
      </c>
      <c r="S358" s="32">
        <v>0</v>
      </c>
      <c r="T358" s="32">
        <v>0</v>
      </c>
      <c r="U358" s="32">
        <v>0</v>
      </c>
      <c r="V358" s="32">
        <v>0</v>
      </c>
      <c r="W358" s="32">
        <v>0</v>
      </c>
      <c r="X358" s="32">
        <v>0</v>
      </c>
      <c r="Y358" s="32">
        <v>0</v>
      </c>
      <c r="Z358" s="32">
        <v>0</v>
      </c>
      <c r="AA358" s="32">
        <v>0</v>
      </c>
      <c r="AB358" s="32">
        <v>0</v>
      </c>
      <c r="AC358" s="32">
        <f t="shared" si="130"/>
        <v>81673.490000000005</v>
      </c>
      <c r="AD358" s="32">
        <v>180000</v>
      </c>
      <c r="AE358" s="32">
        <v>0</v>
      </c>
      <c r="AF358" s="35">
        <v>2020</v>
      </c>
      <c r="AG358" s="35">
        <v>2020</v>
      </c>
      <c r="AH358" s="36">
        <v>2020</v>
      </c>
      <c r="AT358" s="21" t="e">
        <f t="shared" si="126"/>
        <v>#N/A</v>
      </c>
    </row>
    <row r="359" spans="1:49" ht="61.5" x14ac:dyDescent="0.85">
      <c r="A359" s="21">
        <v>1</v>
      </c>
      <c r="B359" s="70">
        <f>SUBTOTAL(103,$A$22:A359)</f>
        <v>316</v>
      </c>
      <c r="C359" s="25" t="s">
        <v>118</v>
      </c>
      <c r="D359" s="32">
        <f t="shared" si="129"/>
        <v>8921859.0999999996</v>
      </c>
      <c r="E359" s="32">
        <v>942459.64</v>
      </c>
      <c r="F359" s="32">
        <v>2188618.85</v>
      </c>
      <c r="G359" s="32">
        <f>12405275.36-8371155.94</f>
        <v>4034119.419999999</v>
      </c>
      <c r="H359" s="32">
        <v>1329244.55</v>
      </c>
      <c r="I359" s="32">
        <v>0</v>
      </c>
      <c r="J359" s="32">
        <v>0</v>
      </c>
      <c r="K359" s="34">
        <v>0</v>
      </c>
      <c r="L359" s="32">
        <v>0</v>
      </c>
      <c r="M359" s="32">
        <v>0</v>
      </c>
      <c r="N359" s="32">
        <v>0</v>
      </c>
      <c r="O359" s="32">
        <v>0</v>
      </c>
      <c r="P359" s="32">
        <v>0</v>
      </c>
      <c r="Q359" s="32">
        <v>0</v>
      </c>
      <c r="R359" s="32">
        <v>0</v>
      </c>
      <c r="S359" s="32">
        <v>0</v>
      </c>
      <c r="T359" s="32">
        <v>0</v>
      </c>
      <c r="U359" s="32">
        <v>0</v>
      </c>
      <c r="V359" s="32">
        <v>0</v>
      </c>
      <c r="W359" s="32">
        <v>0</v>
      </c>
      <c r="X359" s="32">
        <v>0</v>
      </c>
      <c r="Y359" s="32">
        <v>0</v>
      </c>
      <c r="Z359" s="32">
        <v>0</v>
      </c>
      <c r="AA359" s="32">
        <v>0</v>
      </c>
      <c r="AB359" s="32">
        <v>0</v>
      </c>
      <c r="AC359" s="32">
        <f>ROUND((E359+F359+G359+H359+I359+J359)*1.5%,2)</f>
        <v>127416.64</v>
      </c>
      <c r="AD359" s="32">
        <v>300000</v>
      </c>
      <c r="AE359" s="32">
        <v>0</v>
      </c>
      <c r="AF359" s="35">
        <v>2020</v>
      </c>
      <c r="AG359" s="35">
        <v>2020</v>
      </c>
      <c r="AH359" s="36">
        <v>2020</v>
      </c>
      <c r="AT359" s="21" t="e">
        <f t="shared" si="126"/>
        <v>#N/A</v>
      </c>
    </row>
    <row r="360" spans="1:49" ht="61.5" x14ac:dyDescent="0.85">
      <c r="A360" s="21">
        <v>1</v>
      </c>
      <c r="B360" s="70">
        <f>SUBTOTAL(103,$A$22:A360)</f>
        <v>317</v>
      </c>
      <c r="C360" s="25" t="s">
        <v>120</v>
      </c>
      <c r="D360" s="32">
        <f t="shared" si="129"/>
        <v>3199500</v>
      </c>
      <c r="E360" s="32">
        <v>0</v>
      </c>
      <c r="F360" s="32">
        <v>0</v>
      </c>
      <c r="G360" s="32">
        <v>0</v>
      </c>
      <c r="H360" s="32">
        <v>0</v>
      </c>
      <c r="I360" s="32">
        <v>0</v>
      </c>
      <c r="J360" s="32">
        <v>0</v>
      </c>
      <c r="K360" s="34">
        <v>0</v>
      </c>
      <c r="L360" s="32">
        <v>0</v>
      </c>
      <c r="M360" s="32">
        <v>639.9</v>
      </c>
      <c r="N360" s="32">
        <v>3004433.5</v>
      </c>
      <c r="O360" s="32">
        <v>0</v>
      </c>
      <c r="P360" s="32">
        <v>0</v>
      </c>
      <c r="Q360" s="32">
        <v>0</v>
      </c>
      <c r="R360" s="32">
        <v>0</v>
      </c>
      <c r="S360" s="32">
        <v>0</v>
      </c>
      <c r="T360" s="32">
        <v>0</v>
      </c>
      <c r="U360" s="32">
        <v>0</v>
      </c>
      <c r="V360" s="32">
        <v>0</v>
      </c>
      <c r="W360" s="32">
        <v>0</v>
      </c>
      <c r="X360" s="32">
        <v>0</v>
      </c>
      <c r="Y360" s="32">
        <v>0</v>
      </c>
      <c r="Z360" s="32">
        <v>0</v>
      </c>
      <c r="AA360" s="32">
        <v>0</v>
      </c>
      <c r="AB360" s="32">
        <v>0</v>
      </c>
      <c r="AC360" s="32">
        <f>ROUND(N360*1.5%,2)</f>
        <v>45066.5</v>
      </c>
      <c r="AD360" s="32">
        <v>150000</v>
      </c>
      <c r="AE360" s="32">
        <v>0</v>
      </c>
      <c r="AF360" s="35">
        <v>2020</v>
      </c>
      <c r="AG360" s="35">
        <v>2020</v>
      </c>
      <c r="AH360" s="36">
        <v>2020</v>
      </c>
      <c r="AT360" s="21" t="e">
        <f t="shared" si="126"/>
        <v>#N/A</v>
      </c>
    </row>
    <row r="361" spans="1:49" ht="61.5" x14ac:dyDescent="0.85">
      <c r="A361" s="21">
        <v>1</v>
      </c>
      <c r="B361" s="70">
        <f>SUBTOTAL(103,$A$22:A361)</f>
        <v>318</v>
      </c>
      <c r="C361" s="25" t="s">
        <v>121</v>
      </c>
      <c r="D361" s="32">
        <f t="shared" si="129"/>
        <v>2417780.6800000002</v>
      </c>
      <c r="E361" s="32">
        <v>470577.49</v>
      </c>
      <c r="F361" s="32">
        <v>0</v>
      </c>
      <c r="G361" s="32">
        <v>1453543.23</v>
      </c>
      <c r="H361" s="32">
        <v>457929.21</v>
      </c>
      <c r="I361" s="32">
        <v>0</v>
      </c>
      <c r="J361" s="32">
        <v>0</v>
      </c>
      <c r="K361" s="34">
        <v>0</v>
      </c>
      <c r="L361" s="32">
        <v>0</v>
      </c>
      <c r="M361" s="32">
        <v>0</v>
      </c>
      <c r="N361" s="32">
        <v>0</v>
      </c>
      <c r="O361" s="32">
        <v>0</v>
      </c>
      <c r="P361" s="32">
        <v>0</v>
      </c>
      <c r="Q361" s="32">
        <v>0</v>
      </c>
      <c r="R361" s="32">
        <v>0</v>
      </c>
      <c r="S361" s="32">
        <v>0</v>
      </c>
      <c r="T361" s="32">
        <v>0</v>
      </c>
      <c r="U361" s="32">
        <v>0</v>
      </c>
      <c r="V361" s="32">
        <v>0</v>
      </c>
      <c r="W361" s="32">
        <v>0</v>
      </c>
      <c r="X361" s="32">
        <v>0</v>
      </c>
      <c r="Y361" s="32">
        <v>0</v>
      </c>
      <c r="Z361" s="32">
        <v>0</v>
      </c>
      <c r="AA361" s="32">
        <v>0</v>
      </c>
      <c r="AB361" s="32">
        <v>0</v>
      </c>
      <c r="AC361" s="32">
        <f>ROUND((E361+F361+G361+H361+I361+J361)*1.5%,2)</f>
        <v>35730.75</v>
      </c>
      <c r="AD361" s="32">
        <v>0</v>
      </c>
      <c r="AE361" s="32">
        <v>0</v>
      </c>
      <c r="AF361" s="35" t="s">
        <v>275</v>
      </c>
      <c r="AG361" s="35">
        <v>2020</v>
      </c>
      <c r="AH361" s="36">
        <v>2020</v>
      </c>
      <c r="AT361" s="21" t="e">
        <f t="shared" si="126"/>
        <v>#N/A</v>
      </c>
    </row>
    <row r="362" spans="1:49" ht="61.5" x14ac:dyDescent="0.85">
      <c r="A362" s="21">
        <v>1</v>
      </c>
      <c r="B362" s="70">
        <f>SUBTOTAL(103,$A$22:A362)</f>
        <v>319</v>
      </c>
      <c r="C362" s="25" t="s">
        <v>1311</v>
      </c>
      <c r="D362" s="32">
        <f t="shared" si="129"/>
        <v>6989338.7399999993</v>
      </c>
      <c r="E362" s="32">
        <v>0</v>
      </c>
      <c r="F362" s="32">
        <v>0</v>
      </c>
      <c r="G362" s="32">
        <v>0</v>
      </c>
      <c r="H362" s="32">
        <v>0</v>
      </c>
      <c r="I362" s="32">
        <v>0</v>
      </c>
      <c r="J362" s="32">
        <v>0</v>
      </c>
      <c r="K362" s="34">
        <v>0</v>
      </c>
      <c r="L362" s="32">
        <v>0</v>
      </c>
      <c r="M362" s="32">
        <v>0</v>
      </c>
      <c r="N362" s="32">
        <v>0</v>
      </c>
      <c r="O362" s="32">
        <v>0</v>
      </c>
      <c r="P362" s="32">
        <v>0</v>
      </c>
      <c r="Q362" s="32">
        <v>3424.15</v>
      </c>
      <c r="R362" s="32">
        <v>6886048.0199999996</v>
      </c>
      <c r="S362" s="32">
        <v>0</v>
      </c>
      <c r="T362" s="32">
        <v>0</v>
      </c>
      <c r="U362" s="32">
        <v>0</v>
      </c>
      <c r="V362" s="32">
        <v>0</v>
      </c>
      <c r="W362" s="32">
        <v>0</v>
      </c>
      <c r="X362" s="32">
        <v>0</v>
      </c>
      <c r="Y362" s="32">
        <v>0</v>
      </c>
      <c r="Z362" s="32">
        <v>0</v>
      </c>
      <c r="AA362" s="32">
        <v>0</v>
      </c>
      <c r="AB362" s="32">
        <v>0</v>
      </c>
      <c r="AC362" s="32">
        <f t="shared" ref="AC362" si="131">ROUND(R362*1.5%,2)</f>
        <v>103290.72</v>
      </c>
      <c r="AD362" s="32">
        <v>0</v>
      </c>
      <c r="AE362" s="32">
        <v>0</v>
      </c>
      <c r="AF362" s="35" t="s">
        <v>275</v>
      </c>
      <c r="AG362" s="35">
        <v>2020</v>
      </c>
      <c r="AH362" s="36">
        <v>2020</v>
      </c>
    </row>
    <row r="363" spans="1:49" ht="61.5" x14ac:dyDescent="0.85">
      <c r="A363" s="21">
        <v>1</v>
      </c>
      <c r="B363" s="70">
        <f>SUBTOTAL(103,$A$22:A363)</f>
        <v>320</v>
      </c>
      <c r="C363" s="25" t="s">
        <v>1312</v>
      </c>
      <c r="D363" s="32">
        <f t="shared" si="129"/>
        <v>4841157.5600000005</v>
      </c>
      <c r="E363" s="32">
        <v>0</v>
      </c>
      <c r="F363" s="32">
        <v>0</v>
      </c>
      <c r="G363" s="32">
        <v>0</v>
      </c>
      <c r="H363" s="32">
        <v>0</v>
      </c>
      <c r="I363" s="32">
        <v>0</v>
      </c>
      <c r="J363" s="32">
        <v>0</v>
      </c>
      <c r="K363" s="34">
        <v>0</v>
      </c>
      <c r="L363" s="32">
        <v>0</v>
      </c>
      <c r="M363" s="32">
        <v>1150.3</v>
      </c>
      <c r="N363" s="32">
        <v>4769613.3600000003</v>
      </c>
      <c r="O363" s="32">
        <v>0</v>
      </c>
      <c r="P363" s="32">
        <v>0</v>
      </c>
      <c r="Q363" s="32">
        <v>0</v>
      </c>
      <c r="R363" s="32">
        <v>0</v>
      </c>
      <c r="S363" s="32">
        <v>0</v>
      </c>
      <c r="T363" s="32">
        <v>0</v>
      </c>
      <c r="U363" s="32">
        <v>0</v>
      </c>
      <c r="V363" s="32">
        <v>0</v>
      </c>
      <c r="W363" s="32">
        <v>0</v>
      </c>
      <c r="X363" s="32">
        <v>0</v>
      </c>
      <c r="Y363" s="32">
        <v>0</v>
      </c>
      <c r="Z363" s="32">
        <v>0</v>
      </c>
      <c r="AA363" s="32">
        <v>0</v>
      </c>
      <c r="AB363" s="32">
        <v>0</v>
      </c>
      <c r="AC363" s="32">
        <f t="shared" ref="AC363:AC365" si="132">ROUND(N363*1.5%,2)</f>
        <v>71544.2</v>
      </c>
      <c r="AD363" s="32">
        <v>0</v>
      </c>
      <c r="AE363" s="32">
        <v>0</v>
      </c>
      <c r="AF363" s="35" t="s">
        <v>275</v>
      </c>
      <c r="AG363" s="35">
        <v>2020</v>
      </c>
      <c r="AH363" s="36">
        <v>2020</v>
      </c>
    </row>
    <row r="364" spans="1:49" ht="61.5" x14ac:dyDescent="0.85">
      <c r="A364" s="21">
        <v>1</v>
      </c>
      <c r="B364" s="70">
        <f>SUBTOTAL(103,$A$22:A364)</f>
        <v>321</v>
      </c>
      <c r="C364" s="25" t="s">
        <v>1313</v>
      </c>
      <c r="D364" s="32">
        <f t="shared" si="129"/>
        <v>3257855.2800000003</v>
      </c>
      <c r="E364" s="32">
        <v>0</v>
      </c>
      <c r="F364" s="32">
        <v>0</v>
      </c>
      <c r="G364" s="32">
        <v>0</v>
      </c>
      <c r="H364" s="32">
        <v>0</v>
      </c>
      <c r="I364" s="32">
        <v>0</v>
      </c>
      <c r="J364" s="32">
        <v>0</v>
      </c>
      <c r="K364" s="34">
        <v>0</v>
      </c>
      <c r="L364" s="32">
        <v>0</v>
      </c>
      <c r="M364" s="32">
        <v>1013</v>
      </c>
      <c r="N364" s="32">
        <v>3209709.64</v>
      </c>
      <c r="O364" s="32">
        <v>0</v>
      </c>
      <c r="P364" s="32">
        <v>0</v>
      </c>
      <c r="Q364" s="32">
        <v>0</v>
      </c>
      <c r="R364" s="32">
        <v>0</v>
      </c>
      <c r="S364" s="32">
        <v>0</v>
      </c>
      <c r="T364" s="32">
        <v>0</v>
      </c>
      <c r="U364" s="32">
        <v>0</v>
      </c>
      <c r="V364" s="32">
        <v>0</v>
      </c>
      <c r="W364" s="32">
        <v>0</v>
      </c>
      <c r="X364" s="32">
        <v>0</v>
      </c>
      <c r="Y364" s="32">
        <v>0</v>
      </c>
      <c r="Z364" s="32">
        <v>0</v>
      </c>
      <c r="AA364" s="32">
        <v>0</v>
      </c>
      <c r="AB364" s="32">
        <v>0</v>
      </c>
      <c r="AC364" s="32">
        <f t="shared" si="132"/>
        <v>48145.64</v>
      </c>
      <c r="AD364" s="32">
        <v>0</v>
      </c>
      <c r="AE364" s="32">
        <v>0</v>
      </c>
      <c r="AF364" s="35" t="s">
        <v>275</v>
      </c>
      <c r="AG364" s="35">
        <v>2020</v>
      </c>
      <c r="AH364" s="36">
        <v>2020</v>
      </c>
    </row>
    <row r="365" spans="1:49" ht="61.5" x14ac:dyDescent="0.85">
      <c r="A365" s="21">
        <v>1</v>
      </c>
      <c r="B365" s="70">
        <f>SUBTOTAL(103,$A$22:A365)</f>
        <v>322</v>
      </c>
      <c r="C365" s="25" t="s">
        <v>1314</v>
      </c>
      <c r="D365" s="32">
        <f t="shared" si="129"/>
        <v>2457105.5499999998</v>
      </c>
      <c r="E365" s="32">
        <v>0</v>
      </c>
      <c r="F365" s="32">
        <v>0</v>
      </c>
      <c r="G365" s="32">
        <v>0</v>
      </c>
      <c r="H365" s="32">
        <v>0</v>
      </c>
      <c r="I365" s="32">
        <v>0</v>
      </c>
      <c r="J365" s="32">
        <v>0</v>
      </c>
      <c r="K365" s="34">
        <v>0</v>
      </c>
      <c r="L365" s="32">
        <v>0</v>
      </c>
      <c r="M365" s="32">
        <v>461.1</v>
      </c>
      <c r="N365" s="32">
        <v>2420793.65</v>
      </c>
      <c r="O365" s="32">
        <v>0</v>
      </c>
      <c r="P365" s="32">
        <v>0</v>
      </c>
      <c r="Q365" s="32">
        <v>0</v>
      </c>
      <c r="R365" s="32">
        <v>0</v>
      </c>
      <c r="S365" s="32">
        <v>0</v>
      </c>
      <c r="T365" s="32">
        <v>0</v>
      </c>
      <c r="U365" s="32">
        <v>0</v>
      </c>
      <c r="V365" s="32">
        <v>0</v>
      </c>
      <c r="W365" s="32">
        <v>0</v>
      </c>
      <c r="X365" s="32">
        <v>0</v>
      </c>
      <c r="Y365" s="32">
        <v>0</v>
      </c>
      <c r="Z365" s="32">
        <v>0</v>
      </c>
      <c r="AA365" s="32">
        <v>0</v>
      </c>
      <c r="AB365" s="32">
        <v>0</v>
      </c>
      <c r="AC365" s="32">
        <f t="shared" si="132"/>
        <v>36311.9</v>
      </c>
      <c r="AD365" s="32">
        <v>0</v>
      </c>
      <c r="AE365" s="32">
        <v>0</v>
      </c>
      <c r="AF365" s="35" t="s">
        <v>275</v>
      </c>
      <c r="AG365" s="35">
        <v>2020</v>
      </c>
      <c r="AH365" s="36">
        <v>2020</v>
      </c>
    </row>
    <row r="366" spans="1:49" ht="61.5" x14ac:dyDescent="0.85">
      <c r="A366" s="21">
        <v>1</v>
      </c>
      <c r="B366" s="70">
        <f>SUBTOTAL(103,$A$22:A366)</f>
        <v>323</v>
      </c>
      <c r="C366" s="25" t="s">
        <v>1315</v>
      </c>
      <c r="D366" s="32">
        <f t="shared" si="129"/>
        <v>1604654.52</v>
      </c>
      <c r="E366" s="32">
        <v>196469.4</v>
      </c>
      <c r="F366" s="32">
        <v>0</v>
      </c>
      <c r="G366" s="32">
        <v>1139606.22</v>
      </c>
      <c r="H366" s="32">
        <v>244864.79</v>
      </c>
      <c r="I366" s="32">
        <v>0</v>
      </c>
      <c r="J366" s="32">
        <v>0</v>
      </c>
      <c r="K366" s="34">
        <v>0</v>
      </c>
      <c r="L366" s="32">
        <v>0</v>
      </c>
      <c r="M366" s="32">
        <v>0</v>
      </c>
      <c r="N366" s="32">
        <v>0</v>
      </c>
      <c r="O366" s="32">
        <v>0</v>
      </c>
      <c r="P366" s="32">
        <v>0</v>
      </c>
      <c r="Q366" s="32">
        <v>0</v>
      </c>
      <c r="R366" s="32">
        <v>0</v>
      </c>
      <c r="S366" s="32">
        <v>0</v>
      </c>
      <c r="T366" s="32">
        <v>0</v>
      </c>
      <c r="U366" s="32">
        <v>0</v>
      </c>
      <c r="V366" s="32">
        <v>0</v>
      </c>
      <c r="W366" s="32">
        <v>0</v>
      </c>
      <c r="X366" s="32">
        <v>0</v>
      </c>
      <c r="Y366" s="32">
        <v>0</v>
      </c>
      <c r="Z366" s="32">
        <v>0</v>
      </c>
      <c r="AA366" s="32">
        <v>0</v>
      </c>
      <c r="AB366" s="32">
        <v>0</v>
      </c>
      <c r="AC366" s="32">
        <f>ROUND((E366+F366+G366+H366+I366+J366)*1.5%,2)</f>
        <v>23714.11</v>
      </c>
      <c r="AD366" s="32">
        <v>0</v>
      </c>
      <c r="AE366" s="32">
        <v>0</v>
      </c>
      <c r="AF366" s="35" t="s">
        <v>275</v>
      </c>
      <c r="AG366" s="35">
        <v>2020</v>
      </c>
      <c r="AH366" s="36">
        <v>2020</v>
      </c>
    </row>
    <row r="367" spans="1:49" ht="61.5" x14ac:dyDescent="0.85">
      <c r="A367" s="21">
        <v>1</v>
      </c>
      <c r="B367" s="70">
        <f>SUBTOTAL(103,$A$22:A367)</f>
        <v>324</v>
      </c>
      <c r="C367" s="25" t="s">
        <v>1316</v>
      </c>
      <c r="D367" s="32">
        <f t="shared" si="129"/>
        <v>6332196.3999999994</v>
      </c>
      <c r="E367" s="32">
        <v>0</v>
      </c>
      <c r="F367" s="32">
        <v>0</v>
      </c>
      <c r="G367" s="32">
        <v>0</v>
      </c>
      <c r="H367" s="32">
        <v>0</v>
      </c>
      <c r="I367" s="32">
        <v>0</v>
      </c>
      <c r="J367" s="32">
        <v>0</v>
      </c>
      <c r="K367" s="34">
        <v>0</v>
      </c>
      <c r="L367" s="32">
        <v>0</v>
      </c>
      <c r="M367" s="32">
        <v>1550</v>
      </c>
      <c r="N367" s="32">
        <v>6238617.1399999997</v>
      </c>
      <c r="O367" s="32">
        <v>0</v>
      </c>
      <c r="P367" s="32">
        <v>0</v>
      </c>
      <c r="Q367" s="32">
        <v>0</v>
      </c>
      <c r="R367" s="32">
        <v>0</v>
      </c>
      <c r="S367" s="32">
        <v>0</v>
      </c>
      <c r="T367" s="32">
        <v>0</v>
      </c>
      <c r="U367" s="32">
        <v>0</v>
      </c>
      <c r="V367" s="32">
        <v>0</v>
      </c>
      <c r="W367" s="32">
        <v>0</v>
      </c>
      <c r="X367" s="32">
        <v>0</v>
      </c>
      <c r="Y367" s="32">
        <v>0</v>
      </c>
      <c r="Z367" s="32">
        <v>0</v>
      </c>
      <c r="AA367" s="32">
        <v>0</v>
      </c>
      <c r="AB367" s="32">
        <v>0</v>
      </c>
      <c r="AC367" s="32">
        <f t="shared" ref="AC367:AC368" si="133">ROUND(N367*1.5%,2)</f>
        <v>93579.26</v>
      </c>
      <c r="AD367" s="32">
        <v>0</v>
      </c>
      <c r="AE367" s="32">
        <v>0</v>
      </c>
      <c r="AF367" s="35" t="s">
        <v>275</v>
      </c>
      <c r="AG367" s="35">
        <v>2020</v>
      </c>
      <c r="AH367" s="36">
        <v>2020</v>
      </c>
    </row>
    <row r="368" spans="1:49" ht="61.5" x14ac:dyDescent="0.85">
      <c r="A368" s="21">
        <v>1</v>
      </c>
      <c r="B368" s="70">
        <f>SUBTOTAL(103,$A$22:A368)</f>
        <v>325</v>
      </c>
      <c r="C368" s="25" t="s">
        <v>1317</v>
      </c>
      <c r="D368" s="32">
        <f t="shared" si="129"/>
        <v>3369321.81</v>
      </c>
      <c r="E368" s="32">
        <v>0</v>
      </c>
      <c r="F368" s="32">
        <v>0</v>
      </c>
      <c r="G368" s="32">
        <v>0</v>
      </c>
      <c r="H368" s="32">
        <v>0</v>
      </c>
      <c r="I368" s="32">
        <v>0</v>
      </c>
      <c r="J368" s="32">
        <v>0</v>
      </c>
      <c r="K368" s="34">
        <v>0</v>
      </c>
      <c r="L368" s="32">
        <v>0</v>
      </c>
      <c r="M368" s="32">
        <v>670</v>
      </c>
      <c r="N368" s="32">
        <v>3319528.88</v>
      </c>
      <c r="O368" s="32">
        <v>0</v>
      </c>
      <c r="P368" s="32">
        <v>0</v>
      </c>
      <c r="Q368" s="32">
        <v>0</v>
      </c>
      <c r="R368" s="32">
        <v>0</v>
      </c>
      <c r="S368" s="32">
        <v>0</v>
      </c>
      <c r="T368" s="32">
        <v>0</v>
      </c>
      <c r="U368" s="32">
        <v>0</v>
      </c>
      <c r="V368" s="32">
        <v>0</v>
      </c>
      <c r="W368" s="32">
        <v>0</v>
      </c>
      <c r="X368" s="32">
        <v>0</v>
      </c>
      <c r="Y368" s="32">
        <v>0</v>
      </c>
      <c r="Z368" s="32">
        <v>0</v>
      </c>
      <c r="AA368" s="32">
        <v>0</v>
      </c>
      <c r="AB368" s="32">
        <v>0</v>
      </c>
      <c r="AC368" s="32">
        <f t="shared" si="133"/>
        <v>49792.93</v>
      </c>
      <c r="AD368" s="32">
        <v>0</v>
      </c>
      <c r="AE368" s="32">
        <v>0</v>
      </c>
      <c r="AF368" s="35" t="s">
        <v>275</v>
      </c>
      <c r="AG368" s="35">
        <v>2020</v>
      </c>
      <c r="AH368" s="36">
        <v>2020</v>
      </c>
    </row>
    <row r="369" spans="1:82" ht="61.5" x14ac:dyDescent="0.85">
      <c r="B369" s="25" t="s">
        <v>884</v>
      </c>
      <c r="C369" s="25"/>
      <c r="D369" s="32">
        <f>D370+D371</f>
        <v>3593882.32</v>
      </c>
      <c r="E369" s="32">
        <f t="shared" ref="E369:AE369" si="134">E370+E371</f>
        <v>70832.23</v>
      </c>
      <c r="F369" s="32">
        <f t="shared" si="134"/>
        <v>0</v>
      </c>
      <c r="G369" s="32">
        <f t="shared" si="134"/>
        <v>0</v>
      </c>
      <c r="H369" s="32">
        <f t="shared" si="134"/>
        <v>47331.59</v>
      </c>
      <c r="I369" s="32">
        <f t="shared" si="134"/>
        <v>407867.48</v>
      </c>
      <c r="J369" s="32">
        <f t="shared" si="134"/>
        <v>0</v>
      </c>
      <c r="K369" s="34">
        <f t="shared" si="134"/>
        <v>0</v>
      </c>
      <c r="L369" s="32">
        <f t="shared" si="134"/>
        <v>0</v>
      </c>
      <c r="M369" s="32">
        <f t="shared" si="134"/>
        <v>612</v>
      </c>
      <c r="N369" s="32">
        <f t="shared" si="134"/>
        <v>2866995.07</v>
      </c>
      <c r="O369" s="32">
        <f t="shared" si="134"/>
        <v>0</v>
      </c>
      <c r="P369" s="32">
        <f t="shared" si="134"/>
        <v>0</v>
      </c>
      <c r="Q369" s="32">
        <f t="shared" si="134"/>
        <v>0</v>
      </c>
      <c r="R369" s="32">
        <f t="shared" si="134"/>
        <v>0</v>
      </c>
      <c r="S369" s="32">
        <f t="shared" si="134"/>
        <v>0</v>
      </c>
      <c r="T369" s="32">
        <f t="shared" si="134"/>
        <v>0</v>
      </c>
      <c r="U369" s="32">
        <f t="shared" si="134"/>
        <v>0</v>
      </c>
      <c r="V369" s="32">
        <f t="shared" si="134"/>
        <v>0</v>
      </c>
      <c r="W369" s="32">
        <f t="shared" si="134"/>
        <v>0</v>
      </c>
      <c r="X369" s="32">
        <f t="shared" si="134"/>
        <v>0</v>
      </c>
      <c r="Y369" s="32">
        <f t="shared" si="134"/>
        <v>0</v>
      </c>
      <c r="Z369" s="32">
        <f t="shared" si="134"/>
        <v>0</v>
      </c>
      <c r="AA369" s="32">
        <f t="shared" si="134"/>
        <v>0</v>
      </c>
      <c r="AB369" s="32">
        <f t="shared" si="134"/>
        <v>0</v>
      </c>
      <c r="AC369" s="32">
        <f t="shared" si="134"/>
        <v>50855.95</v>
      </c>
      <c r="AD369" s="32">
        <f t="shared" si="134"/>
        <v>150000</v>
      </c>
      <c r="AE369" s="32">
        <f t="shared" si="134"/>
        <v>0</v>
      </c>
      <c r="AF369" s="77" t="s">
        <v>801</v>
      </c>
      <c r="AG369" s="77" t="s">
        <v>801</v>
      </c>
      <c r="AH369" s="107" t="s">
        <v>801</v>
      </c>
      <c r="AT369" s="21" t="e">
        <f>VLOOKUP(C369,AW:AX,2,FALSE)</f>
        <v>#N/A</v>
      </c>
    </row>
    <row r="370" spans="1:82" ht="61.5" x14ac:dyDescent="0.85">
      <c r="A370" s="21">
        <v>1</v>
      </c>
      <c r="B370" s="70">
        <f>SUBTOTAL(103,$A$22:A370)</f>
        <v>326</v>
      </c>
      <c r="C370" s="25" t="s">
        <v>122</v>
      </c>
      <c r="D370" s="32">
        <f t="shared" ref="D370:D371" si="135">E370+F370+G370+H370+I370+J370+L370+N370+P370+R370+T370+U370+V370+W370+X370+Y370+Z370+AA370+AB370+AC370+AD370+AE370</f>
        <v>3060000</v>
      </c>
      <c r="E370" s="32">
        <v>0</v>
      </c>
      <c r="F370" s="32">
        <v>0</v>
      </c>
      <c r="G370" s="32">
        <v>0</v>
      </c>
      <c r="H370" s="32">
        <v>0</v>
      </c>
      <c r="I370" s="32">
        <v>0</v>
      </c>
      <c r="J370" s="32">
        <v>0</v>
      </c>
      <c r="K370" s="34">
        <v>0</v>
      </c>
      <c r="L370" s="32">
        <v>0</v>
      </c>
      <c r="M370" s="32">
        <v>612</v>
      </c>
      <c r="N370" s="32">
        <v>2866995.07</v>
      </c>
      <c r="O370" s="32">
        <v>0</v>
      </c>
      <c r="P370" s="32">
        <v>0</v>
      </c>
      <c r="Q370" s="32">
        <v>0</v>
      </c>
      <c r="R370" s="32">
        <v>0</v>
      </c>
      <c r="S370" s="32">
        <v>0</v>
      </c>
      <c r="T370" s="32">
        <v>0</v>
      </c>
      <c r="U370" s="32">
        <v>0</v>
      </c>
      <c r="V370" s="32">
        <v>0</v>
      </c>
      <c r="W370" s="32">
        <v>0</v>
      </c>
      <c r="X370" s="32">
        <v>0</v>
      </c>
      <c r="Y370" s="32">
        <v>0</v>
      </c>
      <c r="Z370" s="32">
        <v>0</v>
      </c>
      <c r="AA370" s="32">
        <v>0</v>
      </c>
      <c r="AB370" s="32">
        <v>0</v>
      </c>
      <c r="AC370" s="32">
        <f>ROUND(N370*1.5%,2)</f>
        <v>43004.93</v>
      </c>
      <c r="AD370" s="32">
        <v>150000</v>
      </c>
      <c r="AE370" s="32">
        <v>0</v>
      </c>
      <c r="AF370" s="35">
        <v>2020</v>
      </c>
      <c r="AG370" s="35">
        <v>2020</v>
      </c>
      <c r="AH370" s="36">
        <v>2020</v>
      </c>
      <c r="AT370" s="21" t="e">
        <f>VLOOKUP(C370,AW:AX,2,FALSE)</f>
        <v>#N/A</v>
      </c>
    </row>
    <row r="371" spans="1:82" ht="61.5" x14ac:dyDescent="0.85">
      <c r="A371" s="21">
        <v>1</v>
      </c>
      <c r="B371" s="70">
        <f>SUBTOTAL(103,$A$22:A371)</f>
        <v>327</v>
      </c>
      <c r="C371" s="25" t="s">
        <v>1318</v>
      </c>
      <c r="D371" s="32">
        <f t="shared" si="135"/>
        <v>533882.31999999995</v>
      </c>
      <c r="E371" s="32">
        <v>70832.23</v>
      </c>
      <c r="F371" s="32">
        <v>0</v>
      </c>
      <c r="G371" s="32">
        <v>0</v>
      </c>
      <c r="H371" s="32">
        <v>47331.59</v>
      </c>
      <c r="I371" s="32">
        <v>407867.48</v>
      </c>
      <c r="J371" s="32">
        <v>0</v>
      </c>
      <c r="K371" s="34">
        <v>0</v>
      </c>
      <c r="L371" s="32">
        <v>0</v>
      </c>
      <c r="M371" s="32">
        <v>0</v>
      </c>
      <c r="N371" s="32">
        <v>0</v>
      </c>
      <c r="O371" s="32">
        <v>0</v>
      </c>
      <c r="P371" s="32">
        <v>0</v>
      </c>
      <c r="Q371" s="32">
        <v>0</v>
      </c>
      <c r="R371" s="32">
        <v>0</v>
      </c>
      <c r="S371" s="32">
        <v>0</v>
      </c>
      <c r="T371" s="32">
        <v>0</v>
      </c>
      <c r="U371" s="32">
        <v>0</v>
      </c>
      <c r="V371" s="32">
        <v>0</v>
      </c>
      <c r="W371" s="32">
        <v>0</v>
      </c>
      <c r="X371" s="32">
        <v>0</v>
      </c>
      <c r="Y371" s="32">
        <v>0</v>
      </c>
      <c r="Z371" s="32">
        <v>0</v>
      </c>
      <c r="AA371" s="32">
        <v>0</v>
      </c>
      <c r="AB371" s="32">
        <v>0</v>
      </c>
      <c r="AC371" s="32">
        <f>ROUND((E371+F371+G371+H371+I371+J371)*1.4925%,2)</f>
        <v>7851.02</v>
      </c>
      <c r="AD371" s="32">
        <v>0</v>
      </c>
      <c r="AE371" s="32">
        <v>0</v>
      </c>
      <c r="AF371" s="35" t="s">
        <v>275</v>
      </c>
      <c r="AG371" s="35">
        <v>2020</v>
      </c>
      <c r="AH371" s="36">
        <v>2020</v>
      </c>
    </row>
    <row r="372" spans="1:82" ht="61.5" x14ac:dyDescent="0.85">
      <c r="B372" s="25" t="s">
        <v>944</v>
      </c>
      <c r="C372" s="25"/>
      <c r="D372" s="32">
        <f t="shared" ref="D372:AE372" si="136">D373</f>
        <v>2727875.44</v>
      </c>
      <c r="E372" s="32">
        <f t="shared" si="136"/>
        <v>0</v>
      </c>
      <c r="F372" s="32">
        <f t="shared" si="136"/>
        <v>0</v>
      </c>
      <c r="G372" s="32">
        <f t="shared" si="136"/>
        <v>0</v>
      </c>
      <c r="H372" s="32">
        <f t="shared" si="136"/>
        <v>0</v>
      </c>
      <c r="I372" s="32">
        <f t="shared" si="136"/>
        <v>0</v>
      </c>
      <c r="J372" s="32">
        <f t="shared" si="136"/>
        <v>0</v>
      </c>
      <c r="K372" s="34">
        <f t="shared" si="136"/>
        <v>0</v>
      </c>
      <c r="L372" s="32">
        <f t="shared" si="136"/>
        <v>0</v>
      </c>
      <c r="M372" s="32">
        <f t="shared" si="136"/>
        <v>313.10000000000002</v>
      </c>
      <c r="N372" s="32">
        <f t="shared" si="136"/>
        <v>1339691.19</v>
      </c>
      <c r="O372" s="32">
        <f t="shared" si="136"/>
        <v>0</v>
      </c>
      <c r="P372" s="32">
        <f t="shared" si="136"/>
        <v>0</v>
      </c>
      <c r="Q372" s="32">
        <f t="shared" si="136"/>
        <v>366.6</v>
      </c>
      <c r="R372" s="32">
        <f t="shared" si="136"/>
        <v>1219792</v>
      </c>
      <c r="S372" s="32">
        <f t="shared" si="136"/>
        <v>0</v>
      </c>
      <c r="T372" s="32">
        <f t="shared" si="136"/>
        <v>0</v>
      </c>
      <c r="U372" s="32">
        <f t="shared" si="136"/>
        <v>0</v>
      </c>
      <c r="V372" s="32">
        <f t="shared" si="136"/>
        <v>0</v>
      </c>
      <c r="W372" s="32">
        <f t="shared" si="136"/>
        <v>0</v>
      </c>
      <c r="X372" s="32">
        <f t="shared" si="136"/>
        <v>0</v>
      </c>
      <c r="Y372" s="32">
        <f t="shared" si="136"/>
        <v>0</v>
      </c>
      <c r="Z372" s="32">
        <f t="shared" si="136"/>
        <v>0</v>
      </c>
      <c r="AA372" s="32">
        <f t="shared" si="136"/>
        <v>0</v>
      </c>
      <c r="AB372" s="32">
        <f t="shared" si="136"/>
        <v>0</v>
      </c>
      <c r="AC372" s="32">
        <f t="shared" si="136"/>
        <v>38392.25</v>
      </c>
      <c r="AD372" s="32">
        <f t="shared" si="136"/>
        <v>130000</v>
      </c>
      <c r="AE372" s="32">
        <f t="shared" si="136"/>
        <v>0</v>
      </c>
      <c r="AF372" s="77" t="s">
        <v>801</v>
      </c>
      <c r="AG372" s="77" t="s">
        <v>801</v>
      </c>
      <c r="AH372" s="107" t="s">
        <v>801</v>
      </c>
      <c r="AT372" s="21" t="e">
        <f t="shared" ref="AT372:AT381" si="137">VLOOKUP(C372,AW:AX,2,FALSE)</f>
        <v>#N/A</v>
      </c>
    </row>
    <row r="373" spans="1:82" ht="61.5" x14ac:dyDescent="0.85">
      <c r="A373" s="21">
        <v>1</v>
      </c>
      <c r="B373" s="70">
        <f>SUBTOTAL(103,$A$22:A373)</f>
        <v>328</v>
      </c>
      <c r="C373" s="25" t="s">
        <v>123</v>
      </c>
      <c r="D373" s="32">
        <f t="shared" ref="D373" si="138">E373+F373+G373+H373+I373+J373+L373+N373+P373+R373+T373+U373+V373+W373+X373+Y373+Z373+AA373+AB373+AC373+AD373+AE373</f>
        <v>2727875.44</v>
      </c>
      <c r="E373" s="32">
        <v>0</v>
      </c>
      <c r="F373" s="32">
        <v>0</v>
      </c>
      <c r="G373" s="32">
        <v>0</v>
      </c>
      <c r="H373" s="32">
        <v>0</v>
      </c>
      <c r="I373" s="32">
        <v>0</v>
      </c>
      <c r="J373" s="32">
        <v>0</v>
      </c>
      <c r="K373" s="34">
        <v>0</v>
      </c>
      <c r="L373" s="32">
        <v>0</v>
      </c>
      <c r="M373" s="32">
        <v>313.10000000000002</v>
      </c>
      <c r="N373" s="32">
        <v>1339691.19</v>
      </c>
      <c r="O373" s="32">
        <v>0</v>
      </c>
      <c r="P373" s="32">
        <v>0</v>
      </c>
      <c r="Q373" s="32">
        <v>366.6</v>
      </c>
      <c r="R373" s="32">
        <v>1219792</v>
      </c>
      <c r="S373" s="32">
        <v>0</v>
      </c>
      <c r="T373" s="32">
        <v>0</v>
      </c>
      <c r="U373" s="32">
        <v>0</v>
      </c>
      <c r="V373" s="32">
        <v>0</v>
      </c>
      <c r="W373" s="32">
        <v>0</v>
      </c>
      <c r="X373" s="32">
        <v>0</v>
      </c>
      <c r="Y373" s="32">
        <v>0</v>
      </c>
      <c r="Z373" s="32">
        <v>0</v>
      </c>
      <c r="AA373" s="32">
        <v>0</v>
      </c>
      <c r="AB373" s="32">
        <v>0</v>
      </c>
      <c r="AC373" s="32">
        <f>ROUND((N373+R373)*1.5%,2)</f>
        <v>38392.25</v>
      </c>
      <c r="AD373" s="32">
        <v>130000</v>
      </c>
      <c r="AE373" s="32">
        <v>0</v>
      </c>
      <c r="AF373" s="35">
        <v>2020</v>
      </c>
      <c r="AG373" s="35">
        <v>2020</v>
      </c>
      <c r="AH373" s="36">
        <v>2020</v>
      </c>
      <c r="AT373" s="21" t="e">
        <f t="shared" si="137"/>
        <v>#N/A</v>
      </c>
    </row>
    <row r="374" spans="1:82" ht="61.5" x14ac:dyDescent="0.85">
      <c r="B374" s="25" t="s">
        <v>885</v>
      </c>
      <c r="C374" s="25"/>
      <c r="D374" s="32">
        <f t="shared" ref="D374:AE374" si="139">D375</f>
        <v>3859455.67</v>
      </c>
      <c r="E374" s="32">
        <f t="shared" si="139"/>
        <v>0</v>
      </c>
      <c r="F374" s="32">
        <f t="shared" si="139"/>
        <v>0</v>
      </c>
      <c r="G374" s="32">
        <f t="shared" si="139"/>
        <v>0</v>
      </c>
      <c r="H374" s="32">
        <f t="shared" si="139"/>
        <v>0</v>
      </c>
      <c r="I374" s="32">
        <f t="shared" si="139"/>
        <v>0</v>
      </c>
      <c r="J374" s="32">
        <f t="shared" si="139"/>
        <v>0</v>
      </c>
      <c r="K374" s="34">
        <f t="shared" si="139"/>
        <v>0</v>
      </c>
      <c r="L374" s="32">
        <f t="shared" si="139"/>
        <v>0</v>
      </c>
      <c r="M374" s="32">
        <f t="shared" si="139"/>
        <v>681.29</v>
      </c>
      <c r="N374" s="32">
        <f t="shared" si="139"/>
        <v>3654636.13</v>
      </c>
      <c r="O374" s="32">
        <f t="shared" si="139"/>
        <v>0</v>
      </c>
      <c r="P374" s="32">
        <f t="shared" si="139"/>
        <v>0</v>
      </c>
      <c r="Q374" s="32">
        <f t="shared" si="139"/>
        <v>0</v>
      </c>
      <c r="R374" s="32">
        <f t="shared" si="139"/>
        <v>0</v>
      </c>
      <c r="S374" s="32">
        <f t="shared" si="139"/>
        <v>0</v>
      </c>
      <c r="T374" s="32">
        <f t="shared" si="139"/>
        <v>0</v>
      </c>
      <c r="U374" s="32">
        <f t="shared" si="139"/>
        <v>0</v>
      </c>
      <c r="V374" s="32">
        <f t="shared" si="139"/>
        <v>0</v>
      </c>
      <c r="W374" s="32">
        <f t="shared" si="139"/>
        <v>0</v>
      </c>
      <c r="X374" s="32">
        <f t="shared" si="139"/>
        <v>0</v>
      </c>
      <c r="Y374" s="32">
        <f t="shared" si="139"/>
        <v>0</v>
      </c>
      <c r="Z374" s="32">
        <f t="shared" si="139"/>
        <v>0</v>
      </c>
      <c r="AA374" s="32">
        <f t="shared" si="139"/>
        <v>0</v>
      </c>
      <c r="AB374" s="32">
        <f t="shared" si="139"/>
        <v>0</v>
      </c>
      <c r="AC374" s="32">
        <f t="shared" si="139"/>
        <v>54819.54</v>
      </c>
      <c r="AD374" s="32">
        <f t="shared" si="139"/>
        <v>150000</v>
      </c>
      <c r="AE374" s="32">
        <f t="shared" si="139"/>
        <v>0</v>
      </c>
      <c r="AF374" s="77" t="s">
        <v>801</v>
      </c>
      <c r="AG374" s="77" t="s">
        <v>801</v>
      </c>
      <c r="AH374" s="107" t="s">
        <v>801</v>
      </c>
      <c r="AT374" s="21" t="e">
        <f t="shared" si="137"/>
        <v>#N/A</v>
      </c>
    </row>
    <row r="375" spans="1:82" ht="61.5" x14ac:dyDescent="0.85">
      <c r="A375" s="21">
        <v>1</v>
      </c>
      <c r="B375" s="70">
        <f>SUBTOTAL(103,$A$22:A375)</f>
        <v>329</v>
      </c>
      <c r="C375" s="25" t="s">
        <v>124</v>
      </c>
      <c r="D375" s="32">
        <f t="shared" ref="D375" si="140">E375+F375+G375+H375+I375+J375+L375+N375+P375+R375+T375+U375+V375+W375+X375+Y375+Z375+AA375+AB375+AC375+AD375+AE375</f>
        <v>3859455.67</v>
      </c>
      <c r="E375" s="32">
        <v>0</v>
      </c>
      <c r="F375" s="32">
        <v>0</v>
      </c>
      <c r="G375" s="32">
        <v>0</v>
      </c>
      <c r="H375" s="32">
        <v>0</v>
      </c>
      <c r="I375" s="32">
        <v>0</v>
      </c>
      <c r="J375" s="32">
        <v>0</v>
      </c>
      <c r="K375" s="34">
        <v>0</v>
      </c>
      <c r="L375" s="32">
        <v>0</v>
      </c>
      <c r="M375" s="32">
        <v>681.29</v>
      </c>
      <c r="N375" s="32">
        <f>3208325.12+446311.01</f>
        <v>3654636.13</v>
      </c>
      <c r="O375" s="32">
        <v>0</v>
      </c>
      <c r="P375" s="32">
        <v>0</v>
      </c>
      <c r="Q375" s="32">
        <v>0</v>
      </c>
      <c r="R375" s="32">
        <v>0</v>
      </c>
      <c r="S375" s="32">
        <v>0</v>
      </c>
      <c r="T375" s="32">
        <v>0</v>
      </c>
      <c r="U375" s="32">
        <v>0</v>
      </c>
      <c r="V375" s="32">
        <v>0</v>
      </c>
      <c r="W375" s="32">
        <v>0</v>
      </c>
      <c r="X375" s="32">
        <v>0</v>
      </c>
      <c r="Y375" s="32">
        <v>0</v>
      </c>
      <c r="Z375" s="32">
        <v>0</v>
      </c>
      <c r="AA375" s="32">
        <v>0</v>
      </c>
      <c r="AB375" s="32">
        <v>0</v>
      </c>
      <c r="AC375" s="32">
        <f>ROUND(N375*1.5%,2)</f>
        <v>54819.54</v>
      </c>
      <c r="AD375" s="32">
        <v>150000</v>
      </c>
      <c r="AE375" s="32">
        <v>0</v>
      </c>
      <c r="AF375" s="35">
        <v>2020</v>
      </c>
      <c r="AG375" s="35">
        <v>2020</v>
      </c>
      <c r="AH375" s="36">
        <v>2020</v>
      </c>
      <c r="AT375" s="21" t="e">
        <f t="shared" si="137"/>
        <v>#N/A</v>
      </c>
    </row>
    <row r="376" spans="1:82" ht="61.5" x14ac:dyDescent="0.85">
      <c r="B376" s="25" t="s">
        <v>886</v>
      </c>
      <c r="C376" s="110"/>
      <c r="D376" s="32">
        <f>SUM(D377:D379)</f>
        <v>10271754.799999999</v>
      </c>
      <c r="E376" s="32">
        <f t="shared" ref="E376:AE376" si="141">SUM(E377:E379)</f>
        <v>0</v>
      </c>
      <c r="F376" s="32">
        <f t="shared" si="141"/>
        <v>0</v>
      </c>
      <c r="G376" s="32">
        <f t="shared" si="141"/>
        <v>0</v>
      </c>
      <c r="H376" s="32">
        <f t="shared" si="141"/>
        <v>0</v>
      </c>
      <c r="I376" s="32">
        <f t="shared" si="141"/>
        <v>0</v>
      </c>
      <c r="J376" s="32">
        <f t="shared" si="141"/>
        <v>0</v>
      </c>
      <c r="K376" s="34">
        <f t="shared" si="141"/>
        <v>0</v>
      </c>
      <c r="L376" s="32">
        <f t="shared" si="141"/>
        <v>0</v>
      </c>
      <c r="M376" s="32">
        <f t="shared" si="141"/>
        <v>575</v>
      </c>
      <c r="N376" s="32">
        <f t="shared" si="141"/>
        <v>3248844.73</v>
      </c>
      <c r="O376" s="32">
        <f t="shared" si="141"/>
        <v>0</v>
      </c>
      <c r="P376" s="32">
        <f t="shared" si="141"/>
        <v>0</v>
      </c>
      <c r="Q376" s="32">
        <f t="shared" si="141"/>
        <v>336</v>
      </c>
      <c r="R376" s="32">
        <f t="shared" si="141"/>
        <v>2474562.84</v>
      </c>
      <c r="S376" s="32">
        <f t="shared" si="141"/>
        <v>0</v>
      </c>
      <c r="T376" s="32">
        <f t="shared" si="141"/>
        <v>0</v>
      </c>
      <c r="U376" s="32">
        <f t="shared" si="141"/>
        <v>4130538.05</v>
      </c>
      <c r="V376" s="32">
        <f t="shared" si="141"/>
        <v>0</v>
      </c>
      <c r="W376" s="32">
        <f t="shared" si="141"/>
        <v>0</v>
      </c>
      <c r="X376" s="32">
        <f t="shared" si="141"/>
        <v>0</v>
      </c>
      <c r="Y376" s="32">
        <f t="shared" si="141"/>
        <v>0</v>
      </c>
      <c r="Z376" s="32">
        <f t="shared" si="141"/>
        <v>0</v>
      </c>
      <c r="AA376" s="32">
        <f t="shared" si="141"/>
        <v>0</v>
      </c>
      <c r="AB376" s="32">
        <f t="shared" si="141"/>
        <v>0</v>
      </c>
      <c r="AC376" s="32">
        <f t="shared" si="141"/>
        <v>147809.18</v>
      </c>
      <c r="AD376" s="32">
        <f t="shared" si="141"/>
        <v>270000</v>
      </c>
      <c r="AE376" s="32">
        <f t="shared" si="141"/>
        <v>0</v>
      </c>
      <c r="AF376" s="77" t="s">
        <v>801</v>
      </c>
      <c r="AG376" s="77" t="s">
        <v>801</v>
      </c>
      <c r="AH376" s="107" t="s">
        <v>801</v>
      </c>
      <c r="AT376" s="21" t="e">
        <f t="shared" si="137"/>
        <v>#N/A</v>
      </c>
      <c r="CC376" s="32">
        <v>10475726.369999999</v>
      </c>
      <c r="CD376" s="32">
        <f>CC376-D376</f>
        <v>203971.5700000003</v>
      </c>
    </row>
    <row r="377" spans="1:82" ht="61.5" x14ac:dyDescent="0.85">
      <c r="A377" s="21">
        <v>1</v>
      </c>
      <c r="B377" s="70">
        <f>SUBTOTAL(103,$A$22:A377)</f>
        <v>330</v>
      </c>
      <c r="C377" s="25" t="s">
        <v>175</v>
      </c>
      <c r="D377" s="32">
        <f t="shared" ref="D377:D379" si="142">E377+F377+G377+H377+I377+J377+L377+N377+P377+R377+T377+U377+V377+W377+X377+Y377+Z377+AA377+AB377+AC377+AD377+AE377</f>
        <v>3297577.4</v>
      </c>
      <c r="E377" s="32">
        <v>0</v>
      </c>
      <c r="F377" s="32">
        <v>0</v>
      </c>
      <c r="G377" s="32">
        <v>0</v>
      </c>
      <c r="H377" s="32">
        <v>0</v>
      </c>
      <c r="I377" s="32">
        <v>0</v>
      </c>
      <c r="J377" s="32">
        <v>0</v>
      </c>
      <c r="K377" s="34">
        <v>0</v>
      </c>
      <c r="L377" s="32">
        <v>0</v>
      </c>
      <c r="M377" s="32">
        <v>575</v>
      </c>
      <c r="N377" s="32">
        <f>3248844.73</f>
        <v>3248844.73</v>
      </c>
      <c r="O377" s="32">
        <v>0</v>
      </c>
      <c r="P377" s="32">
        <v>0</v>
      </c>
      <c r="Q377" s="32">
        <v>0</v>
      </c>
      <c r="R377" s="32">
        <v>0</v>
      </c>
      <c r="S377" s="32">
        <v>0</v>
      </c>
      <c r="T377" s="32">
        <v>0</v>
      </c>
      <c r="U377" s="32">
        <v>0</v>
      </c>
      <c r="V377" s="32">
        <v>0</v>
      </c>
      <c r="W377" s="32">
        <v>0</v>
      </c>
      <c r="X377" s="32">
        <v>0</v>
      </c>
      <c r="Y377" s="32">
        <v>0</v>
      </c>
      <c r="Z377" s="32">
        <v>0</v>
      </c>
      <c r="AA377" s="32">
        <v>0</v>
      </c>
      <c r="AB377" s="32">
        <v>0</v>
      </c>
      <c r="AC377" s="32">
        <f>ROUND(N377*1.5%,2)</f>
        <v>48732.67</v>
      </c>
      <c r="AD377" s="32">
        <v>0</v>
      </c>
      <c r="AE377" s="32">
        <v>0</v>
      </c>
      <c r="AF377" s="35" t="s">
        <v>275</v>
      </c>
      <c r="AG377" s="35">
        <v>2020</v>
      </c>
      <c r="AH377" s="36">
        <v>2020</v>
      </c>
      <c r="AT377" s="21" t="e">
        <f t="shared" si="137"/>
        <v>#N/A</v>
      </c>
    </row>
    <row r="378" spans="1:82" ht="61.5" x14ac:dyDescent="0.85">
      <c r="A378" s="21">
        <v>1</v>
      </c>
      <c r="B378" s="70">
        <f>SUBTOTAL(103,$A$22:A378)</f>
        <v>331</v>
      </c>
      <c r="C378" s="25" t="s">
        <v>176</v>
      </c>
      <c r="D378" s="32">
        <f t="shared" si="142"/>
        <v>2511681.2799999998</v>
      </c>
      <c r="E378" s="32">
        <v>0</v>
      </c>
      <c r="F378" s="32">
        <v>0</v>
      </c>
      <c r="G378" s="32">
        <v>0</v>
      </c>
      <c r="H378" s="32">
        <v>0</v>
      </c>
      <c r="I378" s="32">
        <v>0</v>
      </c>
      <c r="J378" s="32">
        <v>0</v>
      </c>
      <c r="K378" s="34">
        <v>0</v>
      </c>
      <c r="L378" s="32">
        <v>0</v>
      </c>
      <c r="M378" s="32">
        <v>0</v>
      </c>
      <c r="N378" s="32">
        <v>0</v>
      </c>
      <c r="O378" s="32">
        <v>0</v>
      </c>
      <c r="P378" s="32">
        <v>0</v>
      </c>
      <c r="Q378" s="32">
        <v>336</v>
      </c>
      <c r="R378" s="32">
        <f>2465520.05+9042.79</f>
        <v>2474562.84</v>
      </c>
      <c r="S378" s="32">
        <v>0</v>
      </c>
      <c r="T378" s="32">
        <v>0</v>
      </c>
      <c r="U378" s="32">
        <v>0</v>
      </c>
      <c r="V378" s="32">
        <v>0</v>
      </c>
      <c r="W378" s="32">
        <v>0</v>
      </c>
      <c r="X378" s="32">
        <v>0</v>
      </c>
      <c r="Y378" s="32">
        <v>0</v>
      </c>
      <c r="Z378" s="32">
        <v>0</v>
      </c>
      <c r="AA378" s="32">
        <v>0</v>
      </c>
      <c r="AB378" s="32">
        <v>0</v>
      </c>
      <c r="AC378" s="32">
        <f t="shared" ref="AC378" si="143">ROUND(R378*1.5%,2)</f>
        <v>37118.44</v>
      </c>
      <c r="AD378" s="32">
        <v>0</v>
      </c>
      <c r="AE378" s="32">
        <v>0</v>
      </c>
      <c r="AF378" s="35" t="s">
        <v>275</v>
      </c>
      <c r="AG378" s="35">
        <v>2020</v>
      </c>
      <c r="AH378" s="36">
        <v>2020</v>
      </c>
      <c r="AT378" s="21" t="e">
        <f t="shared" si="137"/>
        <v>#N/A</v>
      </c>
    </row>
    <row r="379" spans="1:82" ht="61.5" x14ac:dyDescent="0.85">
      <c r="A379" s="21">
        <v>1</v>
      </c>
      <c r="B379" s="70">
        <f>SUBTOTAL(103,$A$22:A379)</f>
        <v>332</v>
      </c>
      <c r="C379" s="25" t="s">
        <v>174</v>
      </c>
      <c r="D379" s="32">
        <f t="shared" si="142"/>
        <v>4462496.1199999992</v>
      </c>
      <c r="E379" s="32">
        <v>0</v>
      </c>
      <c r="F379" s="32">
        <v>0</v>
      </c>
      <c r="G379" s="32">
        <v>0</v>
      </c>
      <c r="H379" s="32">
        <v>0</v>
      </c>
      <c r="I379" s="32">
        <v>0</v>
      </c>
      <c r="J379" s="32">
        <v>0</v>
      </c>
      <c r="K379" s="34">
        <v>0</v>
      </c>
      <c r="L379" s="32">
        <v>0</v>
      </c>
      <c r="M379" s="32">
        <v>0</v>
      </c>
      <c r="N379" s="32">
        <v>0</v>
      </c>
      <c r="O379" s="32">
        <v>0</v>
      </c>
      <c r="P379" s="32">
        <v>0</v>
      </c>
      <c r="Q379" s="32">
        <v>0</v>
      </c>
      <c r="R379" s="32">
        <v>0</v>
      </c>
      <c r="S379" s="32">
        <v>0</v>
      </c>
      <c r="T379" s="32">
        <v>0</v>
      </c>
      <c r="U379" s="32">
        <f>4178507.88-47969.83</f>
        <v>4130538.05</v>
      </c>
      <c r="V379" s="32">
        <v>0</v>
      </c>
      <c r="W379" s="32">
        <v>0</v>
      </c>
      <c r="X379" s="32">
        <v>0</v>
      </c>
      <c r="Y379" s="32">
        <v>0</v>
      </c>
      <c r="Z379" s="32">
        <v>0</v>
      </c>
      <c r="AA379" s="32">
        <v>0</v>
      </c>
      <c r="AB379" s="32">
        <v>0</v>
      </c>
      <c r="AC379" s="32">
        <f>ROUND(U379*1.5%,2)</f>
        <v>61958.07</v>
      </c>
      <c r="AD379" s="32">
        <v>270000</v>
      </c>
      <c r="AE379" s="32">
        <v>0</v>
      </c>
      <c r="AF379" s="35">
        <v>2020</v>
      </c>
      <c r="AG379" s="35">
        <v>2020</v>
      </c>
      <c r="AH379" s="36">
        <v>2020</v>
      </c>
      <c r="AT379" s="21" t="e">
        <f t="shared" si="137"/>
        <v>#N/A</v>
      </c>
    </row>
    <row r="380" spans="1:82" ht="61.5" x14ac:dyDescent="0.85">
      <c r="B380" s="25" t="s">
        <v>887</v>
      </c>
      <c r="C380" s="25"/>
      <c r="D380" s="32">
        <f>SUM(D381:D382)</f>
        <v>4635021.79</v>
      </c>
      <c r="E380" s="32">
        <f t="shared" ref="E380:AE380" si="144">SUM(E381:E382)</f>
        <v>169822.4</v>
      </c>
      <c r="F380" s="32">
        <f t="shared" si="144"/>
        <v>0</v>
      </c>
      <c r="G380" s="32">
        <f t="shared" si="144"/>
        <v>1632000</v>
      </c>
      <c r="H380" s="32">
        <f t="shared" si="144"/>
        <v>200000</v>
      </c>
      <c r="I380" s="32">
        <f t="shared" si="144"/>
        <v>268959.81</v>
      </c>
      <c r="J380" s="32">
        <f t="shared" si="144"/>
        <v>0</v>
      </c>
      <c r="K380" s="34">
        <f t="shared" si="144"/>
        <v>0</v>
      </c>
      <c r="L380" s="32">
        <f t="shared" si="144"/>
        <v>0</v>
      </c>
      <c r="M380" s="32">
        <f t="shared" si="144"/>
        <v>455</v>
      </c>
      <c r="N380" s="32">
        <f t="shared" si="144"/>
        <v>2177515.12</v>
      </c>
      <c r="O380" s="32">
        <f t="shared" si="144"/>
        <v>0</v>
      </c>
      <c r="P380" s="32">
        <f t="shared" si="144"/>
        <v>0</v>
      </c>
      <c r="Q380" s="32">
        <f t="shared" si="144"/>
        <v>0</v>
      </c>
      <c r="R380" s="32">
        <f t="shared" si="144"/>
        <v>0</v>
      </c>
      <c r="S380" s="32">
        <f t="shared" si="144"/>
        <v>0</v>
      </c>
      <c r="T380" s="32">
        <f t="shared" si="144"/>
        <v>0</v>
      </c>
      <c r="U380" s="32">
        <f t="shared" si="144"/>
        <v>0</v>
      </c>
      <c r="V380" s="32">
        <f t="shared" si="144"/>
        <v>0</v>
      </c>
      <c r="W380" s="32">
        <f t="shared" si="144"/>
        <v>0</v>
      </c>
      <c r="X380" s="32">
        <f t="shared" si="144"/>
        <v>0</v>
      </c>
      <c r="Y380" s="32">
        <f t="shared" si="144"/>
        <v>0</v>
      </c>
      <c r="Z380" s="32">
        <f t="shared" si="144"/>
        <v>0</v>
      </c>
      <c r="AA380" s="32">
        <f t="shared" si="144"/>
        <v>0</v>
      </c>
      <c r="AB380" s="32">
        <f t="shared" si="144"/>
        <v>0</v>
      </c>
      <c r="AC380" s="32">
        <f t="shared" si="144"/>
        <v>66724.460000000006</v>
      </c>
      <c r="AD380" s="32">
        <f t="shared" si="144"/>
        <v>120000</v>
      </c>
      <c r="AE380" s="32">
        <f t="shared" si="144"/>
        <v>0</v>
      </c>
      <c r="AF380" s="77" t="s">
        <v>801</v>
      </c>
      <c r="AG380" s="77" t="s">
        <v>801</v>
      </c>
      <c r="AH380" s="107" t="s">
        <v>801</v>
      </c>
      <c r="AT380" s="21" t="e">
        <f t="shared" si="137"/>
        <v>#N/A</v>
      </c>
      <c r="CC380" s="32">
        <v>3960937.4299999997</v>
      </c>
      <c r="CD380" s="32">
        <f>CC380-D380</f>
        <v>-674084.36000000034</v>
      </c>
    </row>
    <row r="381" spans="1:82" ht="61.5" x14ac:dyDescent="0.85">
      <c r="A381" s="21">
        <v>1</v>
      </c>
      <c r="B381" s="70">
        <f>SUBTOTAL(103,$A$22:A381)</f>
        <v>333</v>
      </c>
      <c r="C381" s="25" t="s">
        <v>173</v>
      </c>
      <c r="D381" s="32">
        <f t="shared" ref="D381:D382" si="145">E381+F381+G381+H381+I381+J381+L381+N381+P381+R381+T381+U381+V381+W381+X381+Y381+Z381+AA381+AB381+AC381+AD381+AE381</f>
        <v>2330177.85</v>
      </c>
      <c r="E381" s="32">
        <v>0</v>
      </c>
      <c r="F381" s="32">
        <v>0</v>
      </c>
      <c r="G381" s="32">
        <v>0</v>
      </c>
      <c r="H381" s="32">
        <v>0</v>
      </c>
      <c r="I381" s="32">
        <v>0</v>
      </c>
      <c r="J381" s="32">
        <v>0</v>
      </c>
      <c r="K381" s="34">
        <v>0</v>
      </c>
      <c r="L381" s="32">
        <v>0</v>
      </c>
      <c r="M381" s="32">
        <v>455</v>
      </c>
      <c r="N381" s="32">
        <v>2177515.12</v>
      </c>
      <c r="O381" s="32">
        <v>0</v>
      </c>
      <c r="P381" s="32">
        <v>0</v>
      </c>
      <c r="Q381" s="32">
        <v>0</v>
      </c>
      <c r="R381" s="32">
        <v>0</v>
      </c>
      <c r="S381" s="32">
        <v>0</v>
      </c>
      <c r="T381" s="32">
        <v>0</v>
      </c>
      <c r="U381" s="32">
        <v>0</v>
      </c>
      <c r="V381" s="32">
        <v>0</v>
      </c>
      <c r="W381" s="32">
        <v>0</v>
      </c>
      <c r="X381" s="32">
        <v>0</v>
      </c>
      <c r="Y381" s="32">
        <v>0</v>
      </c>
      <c r="Z381" s="32">
        <v>0</v>
      </c>
      <c r="AA381" s="32">
        <v>0</v>
      </c>
      <c r="AB381" s="32">
        <v>0</v>
      </c>
      <c r="AC381" s="32">
        <f>ROUND(N381*1.5%,2)</f>
        <v>32662.73</v>
      </c>
      <c r="AD381" s="32">
        <v>120000</v>
      </c>
      <c r="AE381" s="32">
        <v>0</v>
      </c>
      <c r="AF381" s="35">
        <v>2020</v>
      </c>
      <c r="AG381" s="35">
        <v>2020</v>
      </c>
      <c r="AH381" s="36">
        <v>2020</v>
      </c>
      <c r="AT381" s="21" t="e">
        <f t="shared" si="137"/>
        <v>#N/A</v>
      </c>
    </row>
    <row r="382" spans="1:82" ht="61.5" x14ac:dyDescent="0.85">
      <c r="A382" s="21">
        <v>1</v>
      </c>
      <c r="B382" s="70">
        <f>SUBTOTAL(103,$A$22:A382)</f>
        <v>334</v>
      </c>
      <c r="C382" s="25" t="s">
        <v>1321</v>
      </c>
      <c r="D382" s="32">
        <f t="shared" si="145"/>
        <v>2304843.94</v>
      </c>
      <c r="E382" s="32">
        <v>169822.4</v>
      </c>
      <c r="F382" s="32">
        <v>0</v>
      </c>
      <c r="G382" s="32">
        <v>1632000</v>
      </c>
      <c r="H382" s="32">
        <v>200000</v>
      </c>
      <c r="I382" s="32">
        <v>268959.81</v>
      </c>
      <c r="J382" s="32">
        <v>0</v>
      </c>
      <c r="K382" s="34">
        <v>0</v>
      </c>
      <c r="L382" s="32">
        <v>0</v>
      </c>
      <c r="M382" s="32">
        <v>0</v>
      </c>
      <c r="N382" s="32">
        <v>0</v>
      </c>
      <c r="O382" s="32">
        <v>0</v>
      </c>
      <c r="P382" s="32">
        <v>0</v>
      </c>
      <c r="Q382" s="32">
        <v>0</v>
      </c>
      <c r="R382" s="32">
        <v>0</v>
      </c>
      <c r="S382" s="32">
        <v>0</v>
      </c>
      <c r="T382" s="32">
        <v>0</v>
      </c>
      <c r="U382" s="32">
        <v>0</v>
      </c>
      <c r="V382" s="32">
        <v>0</v>
      </c>
      <c r="W382" s="32">
        <v>0</v>
      </c>
      <c r="X382" s="32">
        <v>0</v>
      </c>
      <c r="Y382" s="32">
        <v>0</v>
      </c>
      <c r="Z382" s="32">
        <v>0</v>
      </c>
      <c r="AA382" s="32">
        <v>0</v>
      </c>
      <c r="AB382" s="32">
        <v>0</v>
      </c>
      <c r="AC382" s="32">
        <f t="shared" ref="AC382" si="146">ROUND((E382+F382+G382+H382+I382+J382)*1.5%,2)</f>
        <v>34061.730000000003</v>
      </c>
      <c r="AD382" s="32">
        <v>0</v>
      </c>
      <c r="AE382" s="32">
        <v>0</v>
      </c>
      <c r="AF382" s="35" t="s">
        <v>275</v>
      </c>
      <c r="AG382" s="35">
        <v>2020</v>
      </c>
      <c r="AH382" s="36">
        <v>2020</v>
      </c>
    </row>
    <row r="383" spans="1:82" ht="61.5" x14ac:dyDescent="0.85">
      <c r="B383" s="25" t="s">
        <v>889</v>
      </c>
      <c r="C383" s="25"/>
      <c r="D383" s="32">
        <f>D384</f>
        <v>1547699.36</v>
      </c>
      <c r="E383" s="32">
        <f t="shared" ref="E383:AE383" si="147">E384</f>
        <v>0</v>
      </c>
      <c r="F383" s="32">
        <f t="shared" si="147"/>
        <v>0</v>
      </c>
      <c r="G383" s="32">
        <f t="shared" si="147"/>
        <v>0</v>
      </c>
      <c r="H383" s="32">
        <f t="shared" si="147"/>
        <v>0</v>
      </c>
      <c r="I383" s="32">
        <f t="shared" si="147"/>
        <v>0</v>
      </c>
      <c r="J383" s="32">
        <f t="shared" si="147"/>
        <v>0</v>
      </c>
      <c r="K383" s="34">
        <f t="shared" si="147"/>
        <v>0</v>
      </c>
      <c r="L383" s="32">
        <f t="shared" si="147"/>
        <v>0</v>
      </c>
      <c r="M383" s="32">
        <f t="shared" si="147"/>
        <v>300</v>
      </c>
      <c r="N383" s="32">
        <f t="shared" si="147"/>
        <v>1406600.35</v>
      </c>
      <c r="O383" s="32">
        <f t="shared" si="147"/>
        <v>0</v>
      </c>
      <c r="P383" s="32">
        <f t="shared" si="147"/>
        <v>0</v>
      </c>
      <c r="Q383" s="32">
        <f t="shared" si="147"/>
        <v>0</v>
      </c>
      <c r="R383" s="32">
        <f t="shared" si="147"/>
        <v>0</v>
      </c>
      <c r="S383" s="32">
        <f t="shared" si="147"/>
        <v>0</v>
      </c>
      <c r="T383" s="32">
        <f t="shared" si="147"/>
        <v>0</v>
      </c>
      <c r="U383" s="32">
        <f t="shared" si="147"/>
        <v>0</v>
      </c>
      <c r="V383" s="32">
        <f t="shared" si="147"/>
        <v>0</v>
      </c>
      <c r="W383" s="32">
        <f t="shared" si="147"/>
        <v>0</v>
      </c>
      <c r="X383" s="32">
        <f t="shared" si="147"/>
        <v>0</v>
      </c>
      <c r="Y383" s="32">
        <f t="shared" si="147"/>
        <v>0</v>
      </c>
      <c r="Z383" s="32">
        <f t="shared" si="147"/>
        <v>0</v>
      </c>
      <c r="AA383" s="32">
        <f t="shared" si="147"/>
        <v>0</v>
      </c>
      <c r="AB383" s="32">
        <f t="shared" si="147"/>
        <v>0</v>
      </c>
      <c r="AC383" s="32">
        <f t="shared" si="147"/>
        <v>21099.01</v>
      </c>
      <c r="AD383" s="32">
        <f t="shared" si="147"/>
        <v>120000</v>
      </c>
      <c r="AE383" s="32">
        <f t="shared" si="147"/>
        <v>0</v>
      </c>
      <c r="AF383" s="77" t="s">
        <v>801</v>
      </c>
      <c r="AG383" s="77" t="s">
        <v>801</v>
      </c>
      <c r="AH383" s="107" t="s">
        <v>801</v>
      </c>
      <c r="AT383" s="21" t="e">
        <f>VLOOKUP(C383,AW:AX,2,FALSE)</f>
        <v>#N/A</v>
      </c>
    </row>
    <row r="384" spans="1:82" ht="61.5" x14ac:dyDescent="0.85">
      <c r="A384" s="21">
        <v>1</v>
      </c>
      <c r="B384" s="70">
        <f>SUBTOTAL(103,$A$22:A384)</f>
        <v>335</v>
      </c>
      <c r="C384" s="25" t="s">
        <v>172</v>
      </c>
      <c r="D384" s="32">
        <f t="shared" ref="D384" si="148">E384+F384+G384+H384+I384+J384+L384+N384+P384+R384+T384+U384+V384+W384+X384+Y384+Z384+AA384+AB384+AC384+AD384+AE384</f>
        <v>1547699.36</v>
      </c>
      <c r="E384" s="32">
        <v>0</v>
      </c>
      <c r="F384" s="32">
        <v>0</v>
      </c>
      <c r="G384" s="32">
        <v>0</v>
      </c>
      <c r="H384" s="32">
        <v>0</v>
      </c>
      <c r="I384" s="32">
        <v>0</v>
      </c>
      <c r="J384" s="32">
        <v>0</v>
      </c>
      <c r="K384" s="34">
        <v>0</v>
      </c>
      <c r="L384" s="32">
        <v>0</v>
      </c>
      <c r="M384" s="32">
        <v>300</v>
      </c>
      <c r="N384" s="32">
        <f>1395449.26+11151.09</f>
        <v>1406600.35</v>
      </c>
      <c r="O384" s="32">
        <v>0</v>
      </c>
      <c r="P384" s="32">
        <v>0</v>
      </c>
      <c r="Q384" s="32">
        <v>0</v>
      </c>
      <c r="R384" s="32">
        <v>0</v>
      </c>
      <c r="S384" s="32">
        <v>0</v>
      </c>
      <c r="T384" s="32">
        <v>0</v>
      </c>
      <c r="U384" s="32">
        <v>0</v>
      </c>
      <c r="V384" s="32">
        <v>0</v>
      </c>
      <c r="W384" s="32">
        <v>0</v>
      </c>
      <c r="X384" s="32">
        <v>0</v>
      </c>
      <c r="Y384" s="32">
        <v>0</v>
      </c>
      <c r="Z384" s="32">
        <v>0</v>
      </c>
      <c r="AA384" s="32">
        <v>0</v>
      </c>
      <c r="AB384" s="32">
        <v>0</v>
      </c>
      <c r="AC384" s="32">
        <f>ROUND(N384*1.5%,2)</f>
        <v>21099.01</v>
      </c>
      <c r="AD384" s="32">
        <v>120000</v>
      </c>
      <c r="AE384" s="32">
        <v>0</v>
      </c>
      <c r="AF384" s="35">
        <v>2020</v>
      </c>
      <c r="AG384" s="35">
        <v>2020</v>
      </c>
      <c r="AH384" s="36">
        <v>2020</v>
      </c>
      <c r="AT384" s="21" t="e">
        <f>VLOOKUP(C384,AW:AX,2,FALSE)</f>
        <v>#N/A</v>
      </c>
    </row>
    <row r="385" spans="1:82" ht="61.5" x14ac:dyDescent="0.85">
      <c r="B385" s="25" t="s">
        <v>888</v>
      </c>
      <c r="C385" s="25"/>
      <c r="D385" s="32">
        <f>SUM(D386:D388)</f>
        <v>5905191.6600000001</v>
      </c>
      <c r="E385" s="32">
        <f t="shared" ref="E385:AE385" si="149">SUM(E386:E388)</f>
        <v>0</v>
      </c>
      <c r="F385" s="32">
        <f t="shared" si="149"/>
        <v>0</v>
      </c>
      <c r="G385" s="32">
        <f t="shared" si="149"/>
        <v>0</v>
      </c>
      <c r="H385" s="32">
        <f t="shared" si="149"/>
        <v>0</v>
      </c>
      <c r="I385" s="32">
        <f t="shared" si="149"/>
        <v>0</v>
      </c>
      <c r="J385" s="32">
        <f t="shared" si="149"/>
        <v>0</v>
      </c>
      <c r="K385" s="34">
        <f t="shared" si="149"/>
        <v>0</v>
      </c>
      <c r="L385" s="32">
        <f t="shared" si="149"/>
        <v>0</v>
      </c>
      <c r="M385" s="32">
        <f t="shared" si="149"/>
        <v>535.29999999999995</v>
      </c>
      <c r="N385" s="32">
        <f t="shared" si="149"/>
        <v>2292353.0299999998</v>
      </c>
      <c r="O385" s="32">
        <f t="shared" si="149"/>
        <v>0</v>
      </c>
      <c r="P385" s="32">
        <f t="shared" si="149"/>
        <v>0</v>
      </c>
      <c r="Q385" s="32">
        <f t="shared" si="149"/>
        <v>921.59999999999991</v>
      </c>
      <c r="R385" s="32">
        <f t="shared" si="149"/>
        <v>3437480.3200000003</v>
      </c>
      <c r="S385" s="32">
        <f t="shared" si="149"/>
        <v>0</v>
      </c>
      <c r="T385" s="32">
        <f t="shared" si="149"/>
        <v>0</v>
      </c>
      <c r="U385" s="32">
        <f t="shared" si="149"/>
        <v>0</v>
      </c>
      <c r="V385" s="32">
        <f t="shared" si="149"/>
        <v>0</v>
      </c>
      <c r="W385" s="32">
        <f t="shared" si="149"/>
        <v>0</v>
      </c>
      <c r="X385" s="32">
        <f t="shared" si="149"/>
        <v>0</v>
      </c>
      <c r="Y385" s="32">
        <f t="shared" si="149"/>
        <v>0</v>
      </c>
      <c r="Z385" s="32">
        <f t="shared" si="149"/>
        <v>0</v>
      </c>
      <c r="AA385" s="32">
        <f t="shared" si="149"/>
        <v>0</v>
      </c>
      <c r="AB385" s="32">
        <f t="shared" si="149"/>
        <v>0</v>
      </c>
      <c r="AC385" s="32">
        <f t="shared" si="149"/>
        <v>85947.5</v>
      </c>
      <c r="AD385" s="32">
        <f t="shared" si="149"/>
        <v>89410.81</v>
      </c>
      <c r="AE385" s="32">
        <f t="shared" si="149"/>
        <v>0</v>
      </c>
      <c r="AF385" s="77" t="s">
        <v>801</v>
      </c>
      <c r="AG385" s="77" t="s">
        <v>801</v>
      </c>
      <c r="AH385" s="107" t="s">
        <v>801</v>
      </c>
      <c r="AT385" s="21" t="e">
        <f>VLOOKUP(C385,AW:AX,2,FALSE)</f>
        <v>#N/A</v>
      </c>
      <c r="CC385" s="32">
        <v>6271514.3100000005</v>
      </c>
      <c r="CD385" s="32">
        <f>CC385-D385</f>
        <v>366322.65000000037</v>
      </c>
    </row>
    <row r="386" spans="1:82" ht="61.5" x14ac:dyDescent="0.85">
      <c r="A386" s="21">
        <v>1</v>
      </c>
      <c r="B386" s="70">
        <f>SUBTOTAL(103,$A$22:A386)</f>
        <v>336</v>
      </c>
      <c r="C386" s="25" t="s">
        <v>187</v>
      </c>
      <c r="D386" s="32">
        <f t="shared" ref="D386:D388" si="150">E386+F386+G386+H386+I386+J386+L386+N386+P386+R386+T386+U386+V386+W386+X386+Y386+Z386+AA386+AB386+AC386+AD386+AE386</f>
        <v>1659429.9100000001</v>
      </c>
      <c r="E386" s="32">
        <v>0</v>
      </c>
      <c r="F386" s="32">
        <v>0</v>
      </c>
      <c r="G386" s="32">
        <v>0</v>
      </c>
      <c r="H386" s="32">
        <v>0</v>
      </c>
      <c r="I386" s="32">
        <v>0</v>
      </c>
      <c r="J386" s="32">
        <v>0</v>
      </c>
      <c r="K386" s="34">
        <v>0</v>
      </c>
      <c r="L386" s="32">
        <v>0</v>
      </c>
      <c r="M386" s="32">
        <v>0</v>
      </c>
      <c r="N386" s="32">
        <v>0</v>
      </c>
      <c r="O386" s="32">
        <v>0</v>
      </c>
      <c r="P386" s="32">
        <v>0</v>
      </c>
      <c r="Q386" s="32">
        <v>403.2</v>
      </c>
      <c r="R386" s="32">
        <v>1546816.85</v>
      </c>
      <c r="S386" s="32">
        <v>0</v>
      </c>
      <c r="T386" s="32">
        <v>0</v>
      </c>
      <c r="U386" s="32">
        <v>0</v>
      </c>
      <c r="V386" s="32">
        <v>0</v>
      </c>
      <c r="W386" s="32">
        <v>0</v>
      </c>
      <c r="X386" s="32">
        <v>0</v>
      </c>
      <c r="Y386" s="32">
        <v>0</v>
      </c>
      <c r="Z386" s="32">
        <v>0</v>
      </c>
      <c r="AA386" s="32">
        <v>0</v>
      </c>
      <c r="AB386" s="32">
        <v>0</v>
      </c>
      <c r="AC386" s="32">
        <f t="shared" ref="AC386" si="151">ROUND(R386*1.5%,2)</f>
        <v>23202.25</v>
      </c>
      <c r="AD386" s="32">
        <v>89410.81</v>
      </c>
      <c r="AE386" s="32">
        <v>0</v>
      </c>
      <c r="AF386" s="35">
        <v>2020</v>
      </c>
      <c r="AG386" s="35">
        <v>2020</v>
      </c>
      <c r="AH386" s="36">
        <v>2020</v>
      </c>
      <c r="AT386" s="21" t="e">
        <f>VLOOKUP(C386,AW:AX,2,FALSE)</f>
        <v>#N/A</v>
      </c>
    </row>
    <row r="387" spans="1:82" ht="61.5" x14ac:dyDescent="0.85">
      <c r="A387" s="21">
        <v>1</v>
      </c>
      <c r="B387" s="70">
        <f>SUBTOTAL(103,$A$22:A387)</f>
        <v>337</v>
      </c>
      <c r="C387" s="25" t="s">
        <v>1319</v>
      </c>
      <c r="D387" s="32">
        <f t="shared" si="150"/>
        <v>1919023.42</v>
      </c>
      <c r="E387" s="32">
        <v>0</v>
      </c>
      <c r="F387" s="32">
        <v>0</v>
      </c>
      <c r="G387" s="32">
        <v>0</v>
      </c>
      <c r="H387" s="32">
        <v>0</v>
      </c>
      <c r="I387" s="32">
        <v>0</v>
      </c>
      <c r="J387" s="32">
        <v>0</v>
      </c>
      <c r="K387" s="34">
        <v>0</v>
      </c>
      <c r="L387" s="32">
        <v>0</v>
      </c>
      <c r="M387" s="32">
        <v>0</v>
      </c>
      <c r="N387" s="32">
        <v>0</v>
      </c>
      <c r="O387" s="32">
        <v>0</v>
      </c>
      <c r="P387" s="32">
        <v>0</v>
      </c>
      <c r="Q387" s="32">
        <v>518.4</v>
      </c>
      <c r="R387" s="32">
        <v>1890663.47</v>
      </c>
      <c r="S387" s="32">
        <v>0</v>
      </c>
      <c r="T387" s="32">
        <v>0</v>
      </c>
      <c r="U387" s="32">
        <v>0</v>
      </c>
      <c r="V387" s="32">
        <v>0</v>
      </c>
      <c r="W387" s="32">
        <v>0</v>
      </c>
      <c r="X387" s="32">
        <v>0</v>
      </c>
      <c r="Y387" s="32">
        <v>0</v>
      </c>
      <c r="Z387" s="32">
        <v>0</v>
      </c>
      <c r="AA387" s="32">
        <v>0</v>
      </c>
      <c r="AB387" s="32">
        <v>0</v>
      </c>
      <c r="AC387" s="32">
        <f>ROUND(R387*1.5%,2)</f>
        <v>28359.95</v>
      </c>
      <c r="AD387" s="32">
        <v>0</v>
      </c>
      <c r="AE387" s="32">
        <v>0</v>
      </c>
      <c r="AF387" s="35" t="s">
        <v>275</v>
      </c>
      <c r="AG387" s="35">
        <v>2020</v>
      </c>
      <c r="AH387" s="36">
        <v>2020</v>
      </c>
    </row>
    <row r="388" spans="1:82" ht="61.5" x14ac:dyDescent="0.85">
      <c r="A388" s="21">
        <v>1</v>
      </c>
      <c r="B388" s="70">
        <f>SUBTOTAL(103,$A$22:A388)</f>
        <v>338</v>
      </c>
      <c r="C388" s="25" t="s">
        <v>1320</v>
      </c>
      <c r="D388" s="32">
        <f t="shared" si="150"/>
        <v>2326738.3299999996</v>
      </c>
      <c r="E388" s="32">
        <v>0</v>
      </c>
      <c r="F388" s="32">
        <v>0</v>
      </c>
      <c r="G388" s="32">
        <v>0</v>
      </c>
      <c r="H388" s="32">
        <v>0</v>
      </c>
      <c r="I388" s="32">
        <v>0</v>
      </c>
      <c r="J388" s="32">
        <v>0</v>
      </c>
      <c r="K388" s="34">
        <v>0</v>
      </c>
      <c r="L388" s="32">
        <v>0</v>
      </c>
      <c r="M388" s="32">
        <v>535.29999999999995</v>
      </c>
      <c r="N388" s="32">
        <v>2292353.0299999998</v>
      </c>
      <c r="O388" s="32">
        <v>0</v>
      </c>
      <c r="P388" s="32">
        <v>0</v>
      </c>
      <c r="Q388" s="32">
        <v>0</v>
      </c>
      <c r="R388" s="32">
        <v>0</v>
      </c>
      <c r="S388" s="32">
        <v>0</v>
      </c>
      <c r="T388" s="32">
        <v>0</v>
      </c>
      <c r="U388" s="32">
        <v>0</v>
      </c>
      <c r="V388" s="32">
        <v>0</v>
      </c>
      <c r="W388" s="32">
        <v>0</v>
      </c>
      <c r="X388" s="32">
        <v>0</v>
      </c>
      <c r="Y388" s="32">
        <v>0</v>
      </c>
      <c r="Z388" s="32">
        <v>0</v>
      </c>
      <c r="AA388" s="32">
        <v>0</v>
      </c>
      <c r="AB388" s="32">
        <v>0</v>
      </c>
      <c r="AC388" s="32">
        <f>ROUND(N388*1.5%,2)</f>
        <v>34385.300000000003</v>
      </c>
      <c r="AD388" s="32">
        <v>0</v>
      </c>
      <c r="AE388" s="32">
        <v>0</v>
      </c>
      <c r="AF388" s="35" t="s">
        <v>275</v>
      </c>
      <c r="AG388" s="35">
        <v>2020</v>
      </c>
      <c r="AH388" s="36">
        <v>2020</v>
      </c>
    </row>
    <row r="389" spans="1:82" ht="61.5" x14ac:dyDescent="0.85">
      <c r="B389" s="25" t="s">
        <v>923</v>
      </c>
      <c r="C389" s="25"/>
      <c r="D389" s="32">
        <f>D390</f>
        <v>3230853.85</v>
      </c>
      <c r="E389" s="32">
        <f t="shared" ref="E389:AE389" si="152">E390</f>
        <v>0</v>
      </c>
      <c r="F389" s="32">
        <f t="shared" si="152"/>
        <v>0</v>
      </c>
      <c r="G389" s="32">
        <f t="shared" si="152"/>
        <v>0</v>
      </c>
      <c r="H389" s="32">
        <f t="shared" si="152"/>
        <v>0</v>
      </c>
      <c r="I389" s="32">
        <f t="shared" si="152"/>
        <v>0</v>
      </c>
      <c r="J389" s="32">
        <f t="shared" si="152"/>
        <v>0</v>
      </c>
      <c r="K389" s="34">
        <f t="shared" si="152"/>
        <v>0</v>
      </c>
      <c r="L389" s="32">
        <f t="shared" si="152"/>
        <v>0</v>
      </c>
      <c r="M389" s="32">
        <f t="shared" si="152"/>
        <v>0</v>
      </c>
      <c r="N389" s="32">
        <f t="shared" si="152"/>
        <v>0</v>
      </c>
      <c r="O389" s="32">
        <f t="shared" si="152"/>
        <v>0</v>
      </c>
      <c r="P389" s="32">
        <f t="shared" si="152"/>
        <v>0</v>
      </c>
      <c r="Q389" s="32">
        <f t="shared" si="152"/>
        <v>702.56</v>
      </c>
      <c r="R389" s="32">
        <f t="shared" si="152"/>
        <v>3183342.46</v>
      </c>
      <c r="S389" s="32">
        <f t="shared" si="152"/>
        <v>0</v>
      </c>
      <c r="T389" s="32">
        <f t="shared" si="152"/>
        <v>0</v>
      </c>
      <c r="U389" s="32">
        <f t="shared" si="152"/>
        <v>0</v>
      </c>
      <c r="V389" s="32">
        <f t="shared" si="152"/>
        <v>0</v>
      </c>
      <c r="W389" s="32">
        <f t="shared" si="152"/>
        <v>0</v>
      </c>
      <c r="X389" s="32">
        <f t="shared" si="152"/>
        <v>0</v>
      </c>
      <c r="Y389" s="32">
        <f t="shared" si="152"/>
        <v>0</v>
      </c>
      <c r="Z389" s="32">
        <f t="shared" si="152"/>
        <v>0</v>
      </c>
      <c r="AA389" s="32">
        <f t="shared" si="152"/>
        <v>0</v>
      </c>
      <c r="AB389" s="32">
        <f t="shared" si="152"/>
        <v>0</v>
      </c>
      <c r="AC389" s="32">
        <f t="shared" si="152"/>
        <v>47511.39</v>
      </c>
      <c r="AD389" s="32">
        <f t="shared" si="152"/>
        <v>0</v>
      </c>
      <c r="AE389" s="32">
        <f t="shared" si="152"/>
        <v>0</v>
      </c>
      <c r="AF389" s="77" t="s">
        <v>801</v>
      </c>
      <c r="AG389" s="77" t="s">
        <v>801</v>
      </c>
      <c r="AH389" s="107" t="s">
        <v>801</v>
      </c>
      <c r="CC389" s="32">
        <v>3334643.9899999998</v>
      </c>
      <c r="CD389" s="32">
        <f>CC389-D389</f>
        <v>103790.13999999966</v>
      </c>
    </row>
    <row r="390" spans="1:82" ht="61.5" x14ac:dyDescent="0.85">
      <c r="A390" s="21">
        <v>1</v>
      </c>
      <c r="B390" s="70">
        <f>SUBTOTAL(103,$A$22:A390)</f>
        <v>339</v>
      </c>
      <c r="C390" s="25" t="s">
        <v>1322</v>
      </c>
      <c r="D390" s="32">
        <f t="shared" ref="D390" si="153">E390+F390+G390+H390+I390+J390+L390+N390+P390+R390+T390+U390+V390+W390+X390+Y390+Z390+AA390+AB390+AC390+AD390+AE390</f>
        <v>3230853.85</v>
      </c>
      <c r="E390" s="32">
        <v>0</v>
      </c>
      <c r="F390" s="32">
        <v>0</v>
      </c>
      <c r="G390" s="32">
        <v>0</v>
      </c>
      <c r="H390" s="32">
        <v>0</v>
      </c>
      <c r="I390" s="32">
        <v>0</v>
      </c>
      <c r="J390" s="32">
        <v>0</v>
      </c>
      <c r="K390" s="34">
        <v>0</v>
      </c>
      <c r="L390" s="32">
        <v>0</v>
      </c>
      <c r="M390" s="32">
        <v>0</v>
      </c>
      <c r="N390" s="32">
        <v>0</v>
      </c>
      <c r="O390" s="32">
        <v>0</v>
      </c>
      <c r="P390" s="32">
        <v>0</v>
      </c>
      <c r="Q390" s="32">
        <v>702.56</v>
      </c>
      <c r="R390" s="32">
        <v>3183342.46</v>
      </c>
      <c r="S390" s="32">
        <v>0</v>
      </c>
      <c r="T390" s="32">
        <v>0</v>
      </c>
      <c r="U390" s="32">
        <v>0</v>
      </c>
      <c r="V390" s="32">
        <v>0</v>
      </c>
      <c r="W390" s="32">
        <v>0</v>
      </c>
      <c r="X390" s="32">
        <v>0</v>
      </c>
      <c r="Y390" s="32">
        <v>0</v>
      </c>
      <c r="Z390" s="32">
        <v>0</v>
      </c>
      <c r="AA390" s="32">
        <v>0</v>
      </c>
      <c r="AB390" s="32">
        <v>0</v>
      </c>
      <c r="AC390" s="32">
        <f>ROUND(R390*1.4925%,2)</f>
        <v>47511.39</v>
      </c>
      <c r="AD390" s="32">
        <v>0</v>
      </c>
      <c r="AE390" s="32">
        <v>0</v>
      </c>
      <c r="AF390" s="35" t="s">
        <v>275</v>
      </c>
      <c r="AG390" s="35">
        <v>2020</v>
      </c>
      <c r="AH390" s="36">
        <v>2020</v>
      </c>
    </row>
    <row r="391" spans="1:82" ht="61.5" x14ac:dyDescent="0.85">
      <c r="B391" s="25" t="s">
        <v>890</v>
      </c>
      <c r="C391" s="110"/>
      <c r="D391" s="32">
        <f>SUM(D392:D398)</f>
        <v>27573659.800000004</v>
      </c>
      <c r="E391" s="32">
        <f t="shared" ref="E391:AE391" si="154">SUM(E392:E398)</f>
        <v>625886.11</v>
      </c>
      <c r="F391" s="32">
        <f t="shared" si="154"/>
        <v>840053.29</v>
      </c>
      <c r="G391" s="32">
        <f t="shared" si="154"/>
        <v>2063192.52</v>
      </c>
      <c r="H391" s="32">
        <f t="shared" si="154"/>
        <v>0</v>
      </c>
      <c r="I391" s="32">
        <f t="shared" si="154"/>
        <v>0</v>
      </c>
      <c r="J391" s="32">
        <f t="shared" si="154"/>
        <v>0</v>
      </c>
      <c r="K391" s="34">
        <f t="shared" si="154"/>
        <v>0</v>
      </c>
      <c r="L391" s="32">
        <f t="shared" si="154"/>
        <v>0</v>
      </c>
      <c r="M391" s="32">
        <f t="shared" si="154"/>
        <v>4876.67</v>
      </c>
      <c r="N391" s="32">
        <f t="shared" si="154"/>
        <v>23132421.050000001</v>
      </c>
      <c r="O391" s="32">
        <f t="shared" si="154"/>
        <v>0</v>
      </c>
      <c r="P391" s="32">
        <f t="shared" si="154"/>
        <v>0</v>
      </c>
      <c r="Q391" s="32">
        <f t="shared" si="154"/>
        <v>0</v>
      </c>
      <c r="R391" s="32">
        <f t="shared" si="154"/>
        <v>0</v>
      </c>
      <c r="S391" s="32">
        <f t="shared" si="154"/>
        <v>0</v>
      </c>
      <c r="T391" s="32">
        <f t="shared" si="154"/>
        <v>0</v>
      </c>
      <c r="U391" s="32">
        <f t="shared" si="154"/>
        <v>0</v>
      </c>
      <c r="V391" s="32">
        <f t="shared" si="154"/>
        <v>0</v>
      </c>
      <c r="W391" s="32">
        <f t="shared" si="154"/>
        <v>0</v>
      </c>
      <c r="X391" s="32">
        <f t="shared" si="154"/>
        <v>0</v>
      </c>
      <c r="Y391" s="32">
        <f t="shared" si="154"/>
        <v>0</v>
      </c>
      <c r="Z391" s="32">
        <f t="shared" si="154"/>
        <v>0</v>
      </c>
      <c r="AA391" s="32">
        <f t="shared" si="154"/>
        <v>0</v>
      </c>
      <c r="AB391" s="32">
        <f t="shared" si="154"/>
        <v>0</v>
      </c>
      <c r="AC391" s="32">
        <f t="shared" si="154"/>
        <v>399923.31000000006</v>
      </c>
      <c r="AD391" s="32">
        <f t="shared" si="154"/>
        <v>512183.52</v>
      </c>
      <c r="AE391" s="32">
        <f t="shared" si="154"/>
        <v>0</v>
      </c>
      <c r="AF391" s="77" t="s">
        <v>801</v>
      </c>
      <c r="AG391" s="77" t="s">
        <v>801</v>
      </c>
      <c r="AH391" s="107" t="s">
        <v>801</v>
      </c>
      <c r="AT391" s="21" t="e">
        <f>VLOOKUP(C391,AW:AX,2,FALSE)</f>
        <v>#N/A</v>
      </c>
    </row>
    <row r="392" spans="1:82" ht="61.5" x14ac:dyDescent="0.85">
      <c r="A392" s="21">
        <v>1</v>
      </c>
      <c r="B392" s="70">
        <f>SUBTOTAL(103,$A$22:A392)</f>
        <v>340</v>
      </c>
      <c r="C392" s="25" t="s">
        <v>76</v>
      </c>
      <c r="D392" s="32">
        <f t="shared" ref="D392:D398" si="155">E392+F392+G392+H392+I392+J392+L392+N392+P392+R392+T392+U392+V392+W392+X392+Y392+Z392+AA392+AB392+AC392+AD392+AE392</f>
        <v>3455432.6599999997</v>
      </c>
      <c r="E392" s="32">
        <v>0</v>
      </c>
      <c r="F392" s="32">
        <v>0</v>
      </c>
      <c r="G392" s="32">
        <v>0</v>
      </c>
      <c r="H392" s="32">
        <v>0</v>
      </c>
      <c r="I392" s="32">
        <v>0</v>
      </c>
      <c r="J392" s="32">
        <v>0</v>
      </c>
      <c r="K392" s="34">
        <v>0</v>
      </c>
      <c r="L392" s="32">
        <v>0</v>
      </c>
      <c r="M392" s="32">
        <v>625</v>
      </c>
      <c r="N392" s="32">
        <v>3256583.9</v>
      </c>
      <c r="O392" s="32">
        <v>0</v>
      </c>
      <c r="P392" s="32">
        <v>0</v>
      </c>
      <c r="Q392" s="32">
        <v>0</v>
      </c>
      <c r="R392" s="32">
        <v>0</v>
      </c>
      <c r="S392" s="32">
        <v>0</v>
      </c>
      <c r="T392" s="32">
        <v>0</v>
      </c>
      <c r="U392" s="32">
        <v>0</v>
      </c>
      <c r="V392" s="32">
        <v>0</v>
      </c>
      <c r="W392" s="32">
        <v>0</v>
      </c>
      <c r="X392" s="32">
        <v>0</v>
      </c>
      <c r="Y392" s="32">
        <v>0</v>
      </c>
      <c r="Z392" s="32">
        <v>0</v>
      </c>
      <c r="AA392" s="32">
        <v>0</v>
      </c>
      <c r="AB392" s="32">
        <v>0</v>
      </c>
      <c r="AC392" s="32">
        <f t="shared" ref="AC392:AC394" si="156">ROUND(N392*1.5%,2)</f>
        <v>48848.76</v>
      </c>
      <c r="AD392" s="32">
        <v>150000</v>
      </c>
      <c r="AE392" s="32">
        <v>0</v>
      </c>
      <c r="AF392" s="35">
        <v>2020</v>
      </c>
      <c r="AG392" s="35">
        <v>2020</v>
      </c>
      <c r="AH392" s="36">
        <v>2020</v>
      </c>
      <c r="AT392" s="21" t="e">
        <f>VLOOKUP(C392,AW:AX,2,FALSE)</f>
        <v>#N/A</v>
      </c>
    </row>
    <row r="393" spans="1:82" ht="61.5" x14ac:dyDescent="0.85">
      <c r="A393" s="21">
        <v>1</v>
      </c>
      <c r="B393" s="70">
        <f>SUBTOTAL(103,$A$22:A393)</f>
        <v>341</v>
      </c>
      <c r="C393" s="25" t="s">
        <v>75</v>
      </c>
      <c r="D393" s="32">
        <f t="shared" si="155"/>
        <v>3046911.8499999996</v>
      </c>
      <c r="E393" s="32">
        <v>0</v>
      </c>
      <c r="F393" s="32">
        <v>0</v>
      </c>
      <c r="G393" s="32">
        <v>0</v>
      </c>
      <c r="H393" s="32">
        <v>0</v>
      </c>
      <c r="I393" s="32">
        <v>0</v>
      </c>
      <c r="J393" s="32">
        <v>0</v>
      </c>
      <c r="K393" s="34">
        <v>0</v>
      </c>
      <c r="L393" s="32">
        <v>0</v>
      </c>
      <c r="M393" s="32">
        <v>504</v>
      </c>
      <c r="N393" s="32">
        <v>2854100.34</v>
      </c>
      <c r="O393" s="32">
        <v>0</v>
      </c>
      <c r="P393" s="32">
        <v>0</v>
      </c>
      <c r="Q393" s="32">
        <v>0</v>
      </c>
      <c r="R393" s="32">
        <v>0</v>
      </c>
      <c r="S393" s="32">
        <v>0</v>
      </c>
      <c r="T393" s="32">
        <v>0</v>
      </c>
      <c r="U393" s="32">
        <v>0</v>
      </c>
      <c r="V393" s="32">
        <v>0</v>
      </c>
      <c r="W393" s="32">
        <v>0</v>
      </c>
      <c r="X393" s="32">
        <v>0</v>
      </c>
      <c r="Y393" s="32">
        <v>0</v>
      </c>
      <c r="Z393" s="32">
        <v>0</v>
      </c>
      <c r="AA393" s="32">
        <v>0</v>
      </c>
      <c r="AB393" s="32">
        <v>0</v>
      </c>
      <c r="AC393" s="32">
        <f t="shared" si="156"/>
        <v>42811.51</v>
      </c>
      <c r="AD393" s="32">
        <v>150000</v>
      </c>
      <c r="AE393" s="32">
        <v>0</v>
      </c>
      <c r="AF393" s="35">
        <v>2020</v>
      </c>
      <c r="AG393" s="35">
        <v>2020</v>
      </c>
      <c r="AH393" s="36">
        <v>2020</v>
      </c>
      <c r="AT393" s="21" t="e">
        <f>VLOOKUP(C393,AW:AX,2,FALSE)</f>
        <v>#N/A</v>
      </c>
    </row>
    <row r="394" spans="1:82" ht="61.5" x14ac:dyDescent="0.85">
      <c r="A394" s="21">
        <v>1</v>
      </c>
      <c r="B394" s="70">
        <f>SUBTOTAL(103,$A$22:A394)</f>
        <v>342</v>
      </c>
      <c r="C394" s="25" t="s">
        <v>77</v>
      </c>
      <c r="D394" s="32">
        <f t="shared" si="155"/>
        <v>5379424.7399999993</v>
      </c>
      <c r="E394" s="32">
        <v>0</v>
      </c>
      <c r="F394" s="32">
        <v>0</v>
      </c>
      <c r="G394" s="32">
        <v>0</v>
      </c>
      <c r="H394" s="32">
        <v>0</v>
      </c>
      <c r="I394" s="32">
        <v>0</v>
      </c>
      <c r="J394" s="32">
        <v>0</v>
      </c>
      <c r="K394" s="34">
        <v>0</v>
      </c>
      <c r="L394" s="32">
        <v>0</v>
      </c>
      <c r="M394" s="32">
        <v>954</v>
      </c>
      <c r="N394" s="32">
        <v>5152142.5999999996</v>
      </c>
      <c r="O394" s="32">
        <v>0</v>
      </c>
      <c r="P394" s="32">
        <v>0</v>
      </c>
      <c r="Q394" s="32">
        <v>0</v>
      </c>
      <c r="R394" s="32">
        <v>0</v>
      </c>
      <c r="S394" s="32">
        <v>0</v>
      </c>
      <c r="T394" s="32">
        <v>0</v>
      </c>
      <c r="U394" s="32">
        <v>0</v>
      </c>
      <c r="V394" s="32">
        <v>0</v>
      </c>
      <c r="W394" s="32">
        <v>0</v>
      </c>
      <c r="X394" s="32">
        <v>0</v>
      </c>
      <c r="Y394" s="32">
        <v>0</v>
      </c>
      <c r="Z394" s="32">
        <v>0</v>
      </c>
      <c r="AA394" s="32">
        <v>0</v>
      </c>
      <c r="AB394" s="32">
        <v>0</v>
      </c>
      <c r="AC394" s="32">
        <f t="shared" si="156"/>
        <v>77282.14</v>
      </c>
      <c r="AD394" s="32">
        <v>150000</v>
      </c>
      <c r="AE394" s="32">
        <v>0</v>
      </c>
      <c r="AF394" s="35">
        <v>2020</v>
      </c>
      <c r="AG394" s="35">
        <v>2020</v>
      </c>
      <c r="AH394" s="36">
        <v>2020</v>
      </c>
      <c r="AT394" s="21" t="e">
        <f>VLOOKUP(C394,AW:AX,2,FALSE)</f>
        <v>#N/A</v>
      </c>
    </row>
    <row r="395" spans="1:82" ht="61.5" x14ac:dyDescent="0.85">
      <c r="A395" s="21">
        <v>1</v>
      </c>
      <c r="B395" s="70">
        <f>SUBTOTAL(103,$A$22:A395)</f>
        <v>343</v>
      </c>
      <c r="C395" s="25" t="s">
        <v>1323</v>
      </c>
      <c r="D395" s="32">
        <f t="shared" si="155"/>
        <v>3582068.9</v>
      </c>
      <c r="E395" s="32">
        <v>625886.11</v>
      </c>
      <c r="F395" s="32">
        <v>840053.29</v>
      </c>
      <c r="G395" s="32">
        <v>2063192.52</v>
      </c>
      <c r="H395" s="32">
        <v>0</v>
      </c>
      <c r="I395" s="32">
        <v>0</v>
      </c>
      <c r="J395" s="32">
        <v>0</v>
      </c>
      <c r="K395" s="34">
        <v>0</v>
      </c>
      <c r="L395" s="32">
        <v>0</v>
      </c>
      <c r="M395" s="32">
        <v>0</v>
      </c>
      <c r="N395" s="32">
        <v>0</v>
      </c>
      <c r="O395" s="32">
        <v>0</v>
      </c>
      <c r="P395" s="32">
        <v>0</v>
      </c>
      <c r="Q395" s="32">
        <v>0</v>
      </c>
      <c r="R395" s="32">
        <v>0</v>
      </c>
      <c r="S395" s="32">
        <v>0</v>
      </c>
      <c r="T395" s="32">
        <v>0</v>
      </c>
      <c r="U395" s="32">
        <v>0</v>
      </c>
      <c r="V395" s="32">
        <v>0</v>
      </c>
      <c r="W395" s="32">
        <v>0</v>
      </c>
      <c r="X395" s="32">
        <v>0</v>
      </c>
      <c r="Y395" s="32">
        <v>0</v>
      </c>
      <c r="Z395" s="32">
        <v>0</v>
      </c>
      <c r="AA395" s="32">
        <v>0</v>
      </c>
      <c r="AB395" s="32">
        <v>0</v>
      </c>
      <c r="AC395" s="32">
        <f t="shared" ref="AC395" si="157">ROUND((E395+F395+G395+H395+I395+J395)*1.5%,2)</f>
        <v>52936.98</v>
      </c>
      <c r="AD395" s="32">
        <v>0</v>
      </c>
      <c r="AE395" s="32">
        <v>0</v>
      </c>
      <c r="AF395" s="35" t="s">
        <v>275</v>
      </c>
      <c r="AG395" s="35">
        <v>2020</v>
      </c>
      <c r="AH395" s="36">
        <v>2020</v>
      </c>
    </row>
    <row r="396" spans="1:82" ht="61.5" x14ac:dyDescent="0.85">
      <c r="A396" s="21">
        <v>1</v>
      </c>
      <c r="B396" s="70">
        <f>SUBTOTAL(103,$A$22:A396)</f>
        <v>344</v>
      </c>
      <c r="C396" s="25" t="s">
        <v>1324</v>
      </c>
      <c r="D396" s="32">
        <f t="shared" si="155"/>
        <v>4162144.7199999997</v>
      </c>
      <c r="E396" s="32">
        <v>0</v>
      </c>
      <c r="F396" s="32">
        <v>0</v>
      </c>
      <c r="G396" s="32">
        <v>0</v>
      </c>
      <c r="H396" s="32">
        <v>0</v>
      </c>
      <c r="I396" s="32">
        <v>0</v>
      </c>
      <c r="J396" s="32">
        <v>0</v>
      </c>
      <c r="K396" s="34">
        <v>0</v>
      </c>
      <c r="L396" s="32">
        <v>0</v>
      </c>
      <c r="M396" s="32">
        <v>1035</v>
      </c>
      <c r="N396" s="32">
        <f>3821158.38+279476.81</f>
        <v>4100635.19</v>
      </c>
      <c r="O396" s="32">
        <v>0</v>
      </c>
      <c r="P396" s="32">
        <v>0</v>
      </c>
      <c r="Q396" s="32">
        <v>0</v>
      </c>
      <c r="R396" s="32">
        <v>0</v>
      </c>
      <c r="S396" s="32">
        <v>0</v>
      </c>
      <c r="T396" s="32">
        <v>0</v>
      </c>
      <c r="U396" s="32">
        <v>0</v>
      </c>
      <c r="V396" s="32">
        <v>0</v>
      </c>
      <c r="W396" s="32">
        <v>0</v>
      </c>
      <c r="X396" s="32">
        <v>0</v>
      </c>
      <c r="Y396" s="32">
        <v>0</v>
      </c>
      <c r="Z396" s="32">
        <v>0</v>
      </c>
      <c r="AA396" s="32">
        <v>0</v>
      </c>
      <c r="AB396" s="32">
        <v>0</v>
      </c>
      <c r="AC396" s="32">
        <f t="shared" ref="AC396:AC398" si="158">ROUND(N396*1.5%,2)</f>
        <v>61509.53</v>
      </c>
      <c r="AD396" s="32">
        <v>0</v>
      </c>
      <c r="AE396" s="32">
        <v>0</v>
      </c>
      <c r="AF396" s="35" t="s">
        <v>275</v>
      </c>
      <c r="AG396" s="35">
        <v>2020</v>
      </c>
      <c r="AH396" s="36">
        <v>2020</v>
      </c>
    </row>
    <row r="397" spans="1:82" ht="61.5" x14ac:dyDescent="0.85">
      <c r="A397" s="21">
        <v>1</v>
      </c>
      <c r="B397" s="70">
        <f>SUBTOTAL(103,$A$22:A397)</f>
        <v>345</v>
      </c>
      <c r="C397" s="25" t="s">
        <v>1325</v>
      </c>
      <c r="D397" s="32">
        <f t="shared" si="155"/>
        <v>5553562.8300000001</v>
      </c>
      <c r="E397" s="32">
        <v>0</v>
      </c>
      <c r="F397" s="32">
        <v>0</v>
      </c>
      <c r="G397" s="32">
        <v>0</v>
      </c>
      <c r="H397" s="32">
        <v>0</v>
      </c>
      <c r="I397" s="32">
        <v>0</v>
      </c>
      <c r="J397" s="32">
        <v>0</v>
      </c>
      <c r="K397" s="34">
        <v>0</v>
      </c>
      <c r="L397" s="32">
        <v>0</v>
      </c>
      <c r="M397" s="32">
        <v>1158.67</v>
      </c>
      <c r="N397" s="32">
        <v>5471490.4699999997</v>
      </c>
      <c r="O397" s="32">
        <v>0</v>
      </c>
      <c r="P397" s="32">
        <v>0</v>
      </c>
      <c r="Q397" s="32">
        <v>0</v>
      </c>
      <c r="R397" s="32">
        <v>0</v>
      </c>
      <c r="S397" s="32">
        <v>0</v>
      </c>
      <c r="T397" s="32">
        <v>0</v>
      </c>
      <c r="U397" s="32">
        <v>0</v>
      </c>
      <c r="V397" s="32">
        <v>0</v>
      </c>
      <c r="W397" s="32">
        <v>0</v>
      </c>
      <c r="X397" s="32">
        <v>0</v>
      </c>
      <c r="Y397" s="32">
        <v>0</v>
      </c>
      <c r="Z397" s="32">
        <v>0</v>
      </c>
      <c r="AA397" s="32">
        <v>0</v>
      </c>
      <c r="AB397" s="32">
        <v>0</v>
      </c>
      <c r="AC397" s="32">
        <f t="shared" si="158"/>
        <v>82072.36</v>
      </c>
      <c r="AD397" s="32">
        <v>0</v>
      </c>
      <c r="AE397" s="32">
        <v>0</v>
      </c>
      <c r="AF397" s="35" t="s">
        <v>275</v>
      </c>
      <c r="AG397" s="35">
        <v>2020</v>
      </c>
      <c r="AH397" s="36">
        <v>2020</v>
      </c>
    </row>
    <row r="398" spans="1:82" ht="61.5" x14ac:dyDescent="0.85">
      <c r="A398" s="21">
        <v>1</v>
      </c>
      <c r="B398" s="70">
        <f>SUBTOTAL(103,$A$22:A398)</f>
        <v>346</v>
      </c>
      <c r="C398" s="25" t="s">
        <v>1326</v>
      </c>
      <c r="D398" s="32">
        <f t="shared" si="155"/>
        <v>2394114.0999999996</v>
      </c>
      <c r="E398" s="32">
        <v>0</v>
      </c>
      <c r="F398" s="32">
        <v>0</v>
      </c>
      <c r="G398" s="32">
        <v>0</v>
      </c>
      <c r="H398" s="32">
        <v>0</v>
      </c>
      <c r="I398" s="32">
        <v>0</v>
      </c>
      <c r="J398" s="32">
        <v>0</v>
      </c>
      <c r="K398" s="34">
        <v>0</v>
      </c>
      <c r="L398" s="32">
        <v>0</v>
      </c>
      <c r="M398" s="32">
        <v>600</v>
      </c>
      <c r="N398" s="32">
        <v>2297468.5499999998</v>
      </c>
      <c r="O398" s="32">
        <v>0</v>
      </c>
      <c r="P398" s="32">
        <v>0</v>
      </c>
      <c r="Q398" s="32">
        <v>0</v>
      </c>
      <c r="R398" s="32">
        <v>0</v>
      </c>
      <c r="S398" s="32">
        <v>0</v>
      </c>
      <c r="T398" s="32">
        <v>0</v>
      </c>
      <c r="U398" s="32">
        <v>0</v>
      </c>
      <c r="V398" s="32">
        <v>0</v>
      </c>
      <c r="W398" s="32">
        <v>0</v>
      </c>
      <c r="X398" s="32">
        <v>0</v>
      </c>
      <c r="Y398" s="32">
        <v>0</v>
      </c>
      <c r="Z398" s="32">
        <v>0</v>
      </c>
      <c r="AA398" s="32">
        <v>0</v>
      </c>
      <c r="AB398" s="32">
        <v>0</v>
      </c>
      <c r="AC398" s="32">
        <f t="shared" si="158"/>
        <v>34462.03</v>
      </c>
      <c r="AD398" s="32">
        <v>62183.519999999997</v>
      </c>
      <c r="AE398" s="32">
        <v>0</v>
      </c>
      <c r="AF398" s="35">
        <v>2020</v>
      </c>
      <c r="AG398" s="35">
        <v>2020</v>
      </c>
      <c r="AH398" s="36">
        <v>2020</v>
      </c>
    </row>
    <row r="399" spans="1:82" ht="61.5" x14ac:dyDescent="0.85">
      <c r="B399" s="25" t="s">
        <v>891</v>
      </c>
      <c r="C399" s="25"/>
      <c r="D399" s="32">
        <f>D400</f>
        <v>3075675.26</v>
      </c>
      <c r="E399" s="32">
        <f t="shared" ref="E399:AE399" si="159">E400</f>
        <v>0</v>
      </c>
      <c r="F399" s="32">
        <f t="shared" si="159"/>
        <v>0</v>
      </c>
      <c r="G399" s="32">
        <f t="shared" si="159"/>
        <v>0</v>
      </c>
      <c r="H399" s="32">
        <f t="shared" si="159"/>
        <v>0</v>
      </c>
      <c r="I399" s="32">
        <f t="shared" si="159"/>
        <v>0</v>
      </c>
      <c r="J399" s="32">
        <f t="shared" si="159"/>
        <v>0</v>
      </c>
      <c r="K399" s="34">
        <f t="shared" si="159"/>
        <v>0</v>
      </c>
      <c r="L399" s="32">
        <f t="shared" si="159"/>
        <v>0</v>
      </c>
      <c r="M399" s="32">
        <f t="shared" si="159"/>
        <v>598</v>
      </c>
      <c r="N399" s="32">
        <f t="shared" si="159"/>
        <v>2882285.69</v>
      </c>
      <c r="O399" s="32">
        <f t="shared" si="159"/>
        <v>0</v>
      </c>
      <c r="P399" s="32">
        <f t="shared" si="159"/>
        <v>0</v>
      </c>
      <c r="Q399" s="32">
        <f t="shared" si="159"/>
        <v>0</v>
      </c>
      <c r="R399" s="32">
        <f t="shared" si="159"/>
        <v>0</v>
      </c>
      <c r="S399" s="32">
        <f t="shared" si="159"/>
        <v>0</v>
      </c>
      <c r="T399" s="32">
        <f t="shared" si="159"/>
        <v>0</v>
      </c>
      <c r="U399" s="32">
        <f t="shared" si="159"/>
        <v>0</v>
      </c>
      <c r="V399" s="32">
        <f t="shared" si="159"/>
        <v>0</v>
      </c>
      <c r="W399" s="32">
        <f t="shared" si="159"/>
        <v>0</v>
      </c>
      <c r="X399" s="32">
        <f t="shared" si="159"/>
        <v>0</v>
      </c>
      <c r="Y399" s="32">
        <f t="shared" si="159"/>
        <v>0</v>
      </c>
      <c r="Z399" s="32">
        <f t="shared" si="159"/>
        <v>0</v>
      </c>
      <c r="AA399" s="32">
        <f t="shared" si="159"/>
        <v>0</v>
      </c>
      <c r="AB399" s="32">
        <f t="shared" si="159"/>
        <v>0</v>
      </c>
      <c r="AC399" s="32">
        <f t="shared" si="159"/>
        <v>43234.29</v>
      </c>
      <c r="AD399" s="32">
        <f t="shared" si="159"/>
        <v>150155.28</v>
      </c>
      <c r="AE399" s="32">
        <f t="shared" si="159"/>
        <v>0</v>
      </c>
      <c r="AF399" s="77" t="s">
        <v>801</v>
      </c>
      <c r="AG399" s="77" t="s">
        <v>801</v>
      </c>
      <c r="AH399" s="107" t="s">
        <v>801</v>
      </c>
      <c r="AT399" s="21" t="e">
        <f>VLOOKUP(C399,AW:AX,2,FALSE)</f>
        <v>#N/A</v>
      </c>
    </row>
    <row r="400" spans="1:82" ht="61.5" x14ac:dyDescent="0.85">
      <c r="A400" s="21">
        <v>1</v>
      </c>
      <c r="B400" s="70">
        <f>SUBTOTAL(103,$A$22:A400)</f>
        <v>347</v>
      </c>
      <c r="C400" s="25" t="s">
        <v>78</v>
      </c>
      <c r="D400" s="32">
        <f t="shared" ref="D400" si="160">E400+F400+G400+H400+I400+J400+L400+N400+P400+R400+T400+U400+V400+W400+X400+Y400+Z400+AA400+AB400+AC400+AD400+AE400</f>
        <v>3075675.26</v>
      </c>
      <c r="E400" s="32">
        <v>0</v>
      </c>
      <c r="F400" s="32">
        <v>0</v>
      </c>
      <c r="G400" s="32">
        <v>0</v>
      </c>
      <c r="H400" s="32">
        <v>0</v>
      </c>
      <c r="I400" s="32">
        <v>0</v>
      </c>
      <c r="J400" s="32">
        <v>0</v>
      </c>
      <c r="K400" s="34">
        <v>0</v>
      </c>
      <c r="L400" s="32">
        <v>0</v>
      </c>
      <c r="M400" s="32">
        <v>598</v>
      </c>
      <c r="N400" s="32">
        <v>2882285.69</v>
      </c>
      <c r="O400" s="32">
        <v>0</v>
      </c>
      <c r="P400" s="32">
        <v>0</v>
      </c>
      <c r="Q400" s="32">
        <v>0</v>
      </c>
      <c r="R400" s="32">
        <v>0</v>
      </c>
      <c r="S400" s="32">
        <v>0</v>
      </c>
      <c r="T400" s="32">
        <v>0</v>
      </c>
      <c r="U400" s="32">
        <v>0</v>
      </c>
      <c r="V400" s="32">
        <v>0</v>
      </c>
      <c r="W400" s="32">
        <v>0</v>
      </c>
      <c r="X400" s="32">
        <v>0</v>
      </c>
      <c r="Y400" s="32">
        <v>0</v>
      </c>
      <c r="Z400" s="32">
        <v>0</v>
      </c>
      <c r="AA400" s="32">
        <v>0</v>
      </c>
      <c r="AB400" s="32">
        <v>0</v>
      </c>
      <c r="AC400" s="32">
        <f>ROUND(N400*1.5%,2)</f>
        <v>43234.29</v>
      </c>
      <c r="AD400" s="32">
        <f>150000+155.28</f>
        <v>150155.28</v>
      </c>
      <c r="AE400" s="32">
        <v>0</v>
      </c>
      <c r="AF400" s="35">
        <v>2020</v>
      </c>
      <c r="AG400" s="35">
        <v>2020</v>
      </c>
      <c r="AH400" s="36">
        <v>2020</v>
      </c>
      <c r="AT400" s="21" t="e">
        <f>VLOOKUP(C400,AW:AX,2,FALSE)</f>
        <v>#N/A</v>
      </c>
    </row>
    <row r="401" spans="1:46" ht="61.5" x14ac:dyDescent="0.85">
      <c r="B401" s="25" t="s">
        <v>924</v>
      </c>
      <c r="C401" s="25"/>
      <c r="D401" s="32">
        <f>D402</f>
        <v>522383.64</v>
      </c>
      <c r="E401" s="32">
        <f t="shared" ref="E401:AE401" si="161">E402</f>
        <v>0</v>
      </c>
      <c r="F401" s="32">
        <f t="shared" si="161"/>
        <v>0</v>
      </c>
      <c r="G401" s="32">
        <f t="shared" si="161"/>
        <v>0</v>
      </c>
      <c r="H401" s="32">
        <f t="shared" si="161"/>
        <v>514663.67999999999</v>
      </c>
      <c r="I401" s="32">
        <f t="shared" si="161"/>
        <v>0</v>
      </c>
      <c r="J401" s="32">
        <f t="shared" si="161"/>
        <v>0</v>
      </c>
      <c r="K401" s="34">
        <f t="shared" si="161"/>
        <v>0</v>
      </c>
      <c r="L401" s="32">
        <f t="shared" si="161"/>
        <v>0</v>
      </c>
      <c r="M401" s="32">
        <f t="shared" si="161"/>
        <v>0</v>
      </c>
      <c r="N401" s="32">
        <f t="shared" si="161"/>
        <v>0</v>
      </c>
      <c r="O401" s="32">
        <f t="shared" si="161"/>
        <v>0</v>
      </c>
      <c r="P401" s="32">
        <f t="shared" si="161"/>
        <v>0</v>
      </c>
      <c r="Q401" s="32">
        <f t="shared" si="161"/>
        <v>0</v>
      </c>
      <c r="R401" s="32">
        <f t="shared" si="161"/>
        <v>0</v>
      </c>
      <c r="S401" s="32">
        <f t="shared" si="161"/>
        <v>0</v>
      </c>
      <c r="T401" s="32">
        <f t="shared" si="161"/>
        <v>0</v>
      </c>
      <c r="U401" s="32">
        <f t="shared" si="161"/>
        <v>0</v>
      </c>
      <c r="V401" s="32">
        <f t="shared" si="161"/>
        <v>0</v>
      </c>
      <c r="W401" s="32">
        <f t="shared" si="161"/>
        <v>0</v>
      </c>
      <c r="X401" s="32">
        <f t="shared" si="161"/>
        <v>0</v>
      </c>
      <c r="Y401" s="32">
        <f t="shared" si="161"/>
        <v>0</v>
      </c>
      <c r="Z401" s="32">
        <f t="shared" si="161"/>
        <v>0</v>
      </c>
      <c r="AA401" s="32">
        <f t="shared" si="161"/>
        <v>0</v>
      </c>
      <c r="AB401" s="32">
        <f t="shared" si="161"/>
        <v>0</v>
      </c>
      <c r="AC401" s="32">
        <f t="shared" si="161"/>
        <v>7719.96</v>
      </c>
      <c r="AD401" s="32">
        <f t="shared" si="161"/>
        <v>0</v>
      </c>
      <c r="AE401" s="32">
        <f t="shared" si="161"/>
        <v>0</v>
      </c>
      <c r="AF401" s="77" t="s">
        <v>801</v>
      </c>
      <c r="AG401" s="77" t="s">
        <v>801</v>
      </c>
      <c r="AH401" s="107" t="s">
        <v>801</v>
      </c>
    </row>
    <row r="402" spans="1:46" ht="61.5" x14ac:dyDescent="0.85">
      <c r="A402" s="21">
        <v>1</v>
      </c>
      <c r="B402" s="70">
        <f>SUBTOTAL(103,$A$22:A402)</f>
        <v>348</v>
      </c>
      <c r="C402" s="25" t="s">
        <v>1327</v>
      </c>
      <c r="D402" s="32">
        <f t="shared" ref="D402" si="162">E402+F402+G402+H402+I402+J402+L402+N402+P402+R402+T402+U402+V402+W402+X402+Y402+Z402+AA402+AB402+AC402+AD402+AE402</f>
        <v>522383.64</v>
      </c>
      <c r="E402" s="32">
        <v>0</v>
      </c>
      <c r="F402" s="32">
        <v>0</v>
      </c>
      <c r="G402" s="32">
        <v>0</v>
      </c>
      <c r="H402" s="32">
        <v>514663.67999999999</v>
      </c>
      <c r="I402" s="32">
        <v>0</v>
      </c>
      <c r="J402" s="32">
        <v>0</v>
      </c>
      <c r="K402" s="34">
        <v>0</v>
      </c>
      <c r="L402" s="32">
        <v>0</v>
      </c>
      <c r="M402" s="32">
        <v>0</v>
      </c>
      <c r="N402" s="32">
        <v>0</v>
      </c>
      <c r="O402" s="32">
        <v>0</v>
      </c>
      <c r="P402" s="32">
        <v>0</v>
      </c>
      <c r="Q402" s="32">
        <v>0</v>
      </c>
      <c r="R402" s="32">
        <v>0</v>
      </c>
      <c r="S402" s="32">
        <v>0</v>
      </c>
      <c r="T402" s="32">
        <v>0</v>
      </c>
      <c r="U402" s="32">
        <v>0</v>
      </c>
      <c r="V402" s="32">
        <v>0</v>
      </c>
      <c r="W402" s="32">
        <v>0</v>
      </c>
      <c r="X402" s="32">
        <v>0</v>
      </c>
      <c r="Y402" s="32">
        <v>0</v>
      </c>
      <c r="Z402" s="32">
        <v>0</v>
      </c>
      <c r="AA402" s="32">
        <v>0</v>
      </c>
      <c r="AB402" s="32">
        <v>0</v>
      </c>
      <c r="AC402" s="32">
        <f>ROUND((E402+F402+G402+H402+I402+J402)*1.5%,2)</f>
        <v>7719.96</v>
      </c>
      <c r="AD402" s="32">
        <v>0</v>
      </c>
      <c r="AE402" s="32">
        <v>0</v>
      </c>
      <c r="AF402" s="35" t="s">
        <v>275</v>
      </c>
      <c r="AG402" s="35">
        <v>2020</v>
      </c>
      <c r="AH402" s="36">
        <v>2020</v>
      </c>
    </row>
    <row r="403" spans="1:46" ht="61.5" x14ac:dyDescent="0.85">
      <c r="B403" s="25" t="s">
        <v>892</v>
      </c>
      <c r="C403" s="110"/>
      <c r="D403" s="32">
        <f>SUM(D404:D408)</f>
        <v>18085413.109999999</v>
      </c>
      <c r="E403" s="32">
        <f t="shared" ref="E403:AE403" si="163">SUM(E404:E408)</f>
        <v>0</v>
      </c>
      <c r="F403" s="32">
        <f t="shared" si="163"/>
        <v>0</v>
      </c>
      <c r="G403" s="32">
        <f t="shared" si="163"/>
        <v>0</v>
      </c>
      <c r="H403" s="32">
        <f t="shared" si="163"/>
        <v>0</v>
      </c>
      <c r="I403" s="32">
        <f t="shared" si="163"/>
        <v>0</v>
      </c>
      <c r="J403" s="32">
        <f t="shared" si="163"/>
        <v>0</v>
      </c>
      <c r="K403" s="34">
        <f t="shared" si="163"/>
        <v>0</v>
      </c>
      <c r="L403" s="32">
        <f t="shared" si="163"/>
        <v>0</v>
      </c>
      <c r="M403" s="32">
        <f t="shared" si="163"/>
        <v>2796.4</v>
      </c>
      <c r="N403" s="32">
        <f t="shared" si="163"/>
        <v>12426985.93</v>
      </c>
      <c r="O403" s="32">
        <f t="shared" si="163"/>
        <v>0</v>
      </c>
      <c r="P403" s="32">
        <f t="shared" si="163"/>
        <v>0</v>
      </c>
      <c r="Q403" s="32">
        <f t="shared" si="163"/>
        <v>0</v>
      </c>
      <c r="R403" s="32">
        <f t="shared" si="163"/>
        <v>0</v>
      </c>
      <c r="S403" s="32">
        <f t="shared" si="163"/>
        <v>0</v>
      </c>
      <c r="T403" s="32">
        <f t="shared" si="163"/>
        <v>0</v>
      </c>
      <c r="U403" s="32">
        <f t="shared" si="163"/>
        <v>5125145.21</v>
      </c>
      <c r="V403" s="32">
        <f t="shared" si="163"/>
        <v>0</v>
      </c>
      <c r="W403" s="32">
        <f t="shared" si="163"/>
        <v>0</v>
      </c>
      <c r="X403" s="32">
        <f t="shared" si="163"/>
        <v>0</v>
      </c>
      <c r="Y403" s="32">
        <f t="shared" si="163"/>
        <v>0</v>
      </c>
      <c r="Z403" s="32">
        <f t="shared" si="163"/>
        <v>0</v>
      </c>
      <c r="AA403" s="32">
        <f t="shared" si="163"/>
        <v>0</v>
      </c>
      <c r="AB403" s="32">
        <f t="shared" si="163"/>
        <v>0</v>
      </c>
      <c r="AC403" s="32">
        <f t="shared" si="163"/>
        <v>263281.96999999997</v>
      </c>
      <c r="AD403" s="32">
        <f t="shared" si="163"/>
        <v>150000</v>
      </c>
      <c r="AE403" s="32">
        <f t="shared" si="163"/>
        <v>120000</v>
      </c>
      <c r="AF403" s="77" t="s">
        <v>801</v>
      </c>
      <c r="AG403" s="77" t="s">
        <v>801</v>
      </c>
      <c r="AH403" s="107" t="s">
        <v>801</v>
      </c>
      <c r="AT403" s="21" t="e">
        <f>VLOOKUP(C403,AW:AX,2,FALSE)</f>
        <v>#N/A</v>
      </c>
    </row>
    <row r="404" spans="1:46" ht="61.5" x14ac:dyDescent="0.85">
      <c r="A404" s="21">
        <v>1</v>
      </c>
      <c r="B404" s="70">
        <f>SUBTOTAL(103,$A$22:A404)</f>
        <v>349</v>
      </c>
      <c r="C404" s="25" t="s">
        <v>109</v>
      </c>
      <c r="D404" s="32">
        <f t="shared" ref="D404:D408" si="164">E404+F404+G404+H404+I404+J404+L404+N404+P404+R404+T404+U404+V404+W404+X404+Y404+Z404+AA404+AB404+AC404+AD404+AE404</f>
        <v>2621954.34</v>
      </c>
      <c r="E404" s="32">
        <v>0</v>
      </c>
      <c r="F404" s="32">
        <v>0</v>
      </c>
      <c r="G404" s="32">
        <v>0</v>
      </c>
      <c r="H404" s="32">
        <v>0</v>
      </c>
      <c r="I404" s="32">
        <v>0</v>
      </c>
      <c r="J404" s="32">
        <v>0</v>
      </c>
      <c r="K404" s="34">
        <v>0</v>
      </c>
      <c r="L404" s="32">
        <v>0</v>
      </c>
      <c r="M404" s="32">
        <v>596.4</v>
      </c>
      <c r="N404" s="32">
        <f>2451835.25+131371</f>
        <v>2583206.25</v>
      </c>
      <c r="O404" s="32">
        <v>0</v>
      </c>
      <c r="P404" s="32">
        <v>0</v>
      </c>
      <c r="Q404" s="32">
        <v>0</v>
      </c>
      <c r="R404" s="32">
        <v>0</v>
      </c>
      <c r="S404" s="32">
        <v>0</v>
      </c>
      <c r="T404" s="32">
        <v>0</v>
      </c>
      <c r="U404" s="32">
        <v>0</v>
      </c>
      <c r="V404" s="32">
        <v>0</v>
      </c>
      <c r="W404" s="32">
        <v>0</v>
      </c>
      <c r="X404" s="32">
        <v>0</v>
      </c>
      <c r="Y404" s="32">
        <v>0</v>
      </c>
      <c r="Z404" s="32">
        <v>0</v>
      </c>
      <c r="AA404" s="32">
        <v>0</v>
      </c>
      <c r="AB404" s="32">
        <v>0</v>
      </c>
      <c r="AC404" s="32">
        <f t="shared" ref="AC404:AC406" si="165">ROUND(N404*1.5%,2)</f>
        <v>38748.089999999997</v>
      </c>
      <c r="AD404" s="32">
        <v>0</v>
      </c>
      <c r="AE404" s="32">
        <v>0</v>
      </c>
      <c r="AF404" s="35" t="s">
        <v>275</v>
      </c>
      <c r="AG404" s="35">
        <v>2020</v>
      </c>
      <c r="AH404" s="36">
        <v>2020</v>
      </c>
      <c r="AT404" s="21" t="e">
        <f>VLOOKUP(C404,AW:AX,2,FALSE)</f>
        <v>#N/A</v>
      </c>
    </row>
    <row r="405" spans="1:46" ht="61.5" x14ac:dyDescent="0.85">
      <c r="A405" s="21">
        <v>1</v>
      </c>
      <c r="B405" s="70">
        <f>SUBTOTAL(103,$A$22:A405)</f>
        <v>350</v>
      </c>
      <c r="C405" s="25" t="s">
        <v>111</v>
      </c>
      <c r="D405" s="32">
        <f t="shared" si="164"/>
        <v>5164360.1999999993</v>
      </c>
      <c r="E405" s="32">
        <v>0</v>
      </c>
      <c r="F405" s="32">
        <v>0</v>
      </c>
      <c r="G405" s="32">
        <v>0</v>
      </c>
      <c r="H405" s="32">
        <v>0</v>
      </c>
      <c r="I405" s="32">
        <v>0</v>
      </c>
      <c r="J405" s="32">
        <v>0</v>
      </c>
      <c r="K405" s="34">
        <v>0</v>
      </c>
      <c r="L405" s="32">
        <v>0</v>
      </c>
      <c r="M405" s="32">
        <v>989</v>
      </c>
      <c r="N405" s="32">
        <v>4940256.3499999996</v>
      </c>
      <c r="O405" s="32">
        <v>0</v>
      </c>
      <c r="P405" s="32">
        <v>0</v>
      </c>
      <c r="Q405" s="32">
        <v>0</v>
      </c>
      <c r="R405" s="32">
        <v>0</v>
      </c>
      <c r="S405" s="32">
        <v>0</v>
      </c>
      <c r="T405" s="32">
        <v>0</v>
      </c>
      <c r="U405" s="32">
        <v>0</v>
      </c>
      <c r="V405" s="32">
        <v>0</v>
      </c>
      <c r="W405" s="32">
        <v>0</v>
      </c>
      <c r="X405" s="32">
        <v>0</v>
      </c>
      <c r="Y405" s="32">
        <v>0</v>
      </c>
      <c r="Z405" s="32">
        <v>0</v>
      </c>
      <c r="AA405" s="32">
        <v>0</v>
      </c>
      <c r="AB405" s="32">
        <v>0</v>
      </c>
      <c r="AC405" s="32">
        <f t="shared" si="165"/>
        <v>74103.850000000006</v>
      </c>
      <c r="AD405" s="32">
        <v>150000</v>
      </c>
      <c r="AE405" s="32">
        <v>0</v>
      </c>
      <c r="AF405" s="35">
        <v>2020</v>
      </c>
      <c r="AG405" s="35">
        <v>2020</v>
      </c>
      <c r="AH405" s="36">
        <v>2020</v>
      </c>
      <c r="AT405" s="21" t="e">
        <f>VLOOKUP(C405,AW:AX,2,FALSE)</f>
        <v>#N/A</v>
      </c>
    </row>
    <row r="406" spans="1:46" ht="61.5" x14ac:dyDescent="0.85">
      <c r="A406" s="21">
        <v>1</v>
      </c>
      <c r="B406" s="70">
        <f>SUBTOTAL(103,$A$22:A406)</f>
        <v>351</v>
      </c>
      <c r="C406" s="25" t="s">
        <v>1328</v>
      </c>
      <c r="D406" s="32">
        <f t="shared" si="164"/>
        <v>3913623.54</v>
      </c>
      <c r="E406" s="32">
        <v>0</v>
      </c>
      <c r="F406" s="32">
        <v>0</v>
      </c>
      <c r="G406" s="32">
        <v>0</v>
      </c>
      <c r="H406" s="32">
        <v>0</v>
      </c>
      <c r="I406" s="32">
        <v>0</v>
      </c>
      <c r="J406" s="32">
        <v>0</v>
      </c>
      <c r="K406" s="34">
        <v>0</v>
      </c>
      <c r="L406" s="32">
        <v>0</v>
      </c>
      <c r="M406" s="32">
        <v>876</v>
      </c>
      <c r="N406" s="32">
        <v>3855786.74</v>
      </c>
      <c r="O406" s="32">
        <v>0</v>
      </c>
      <c r="P406" s="32">
        <v>0</v>
      </c>
      <c r="Q406" s="32">
        <v>0</v>
      </c>
      <c r="R406" s="32">
        <v>0</v>
      </c>
      <c r="S406" s="32">
        <v>0</v>
      </c>
      <c r="T406" s="32">
        <v>0</v>
      </c>
      <c r="U406" s="32">
        <v>0</v>
      </c>
      <c r="V406" s="32">
        <v>0</v>
      </c>
      <c r="W406" s="32">
        <v>0</v>
      </c>
      <c r="X406" s="32">
        <v>0</v>
      </c>
      <c r="Y406" s="32">
        <v>0</v>
      </c>
      <c r="Z406" s="32">
        <v>0</v>
      </c>
      <c r="AA406" s="32">
        <v>0</v>
      </c>
      <c r="AB406" s="32">
        <v>0</v>
      </c>
      <c r="AC406" s="32">
        <f t="shared" si="165"/>
        <v>57836.800000000003</v>
      </c>
      <c r="AD406" s="32">
        <v>0</v>
      </c>
      <c r="AE406" s="32">
        <v>0</v>
      </c>
      <c r="AF406" s="35" t="s">
        <v>275</v>
      </c>
      <c r="AG406" s="35">
        <v>2020</v>
      </c>
      <c r="AH406" s="36">
        <v>2020</v>
      </c>
    </row>
    <row r="407" spans="1:46" ht="61.5" x14ac:dyDescent="0.85">
      <c r="A407" s="21">
        <v>1</v>
      </c>
      <c r="B407" s="70">
        <f>SUBTOTAL(103,$A$22:A407)</f>
        <v>352</v>
      </c>
      <c r="C407" s="25" t="s">
        <v>1329</v>
      </c>
      <c r="D407" s="32">
        <f t="shared" si="164"/>
        <v>5202022.3899999997</v>
      </c>
      <c r="E407" s="32">
        <v>0</v>
      </c>
      <c r="F407" s="32">
        <v>0</v>
      </c>
      <c r="G407" s="32">
        <v>0</v>
      </c>
      <c r="H407" s="32">
        <v>0</v>
      </c>
      <c r="I407" s="32">
        <v>0</v>
      </c>
      <c r="J407" s="32">
        <v>0</v>
      </c>
      <c r="K407" s="34">
        <v>0</v>
      </c>
      <c r="L407" s="32">
        <v>0</v>
      </c>
      <c r="M407" s="32">
        <v>0</v>
      </c>
      <c r="N407" s="32">
        <v>0</v>
      </c>
      <c r="O407" s="32">
        <v>0</v>
      </c>
      <c r="P407" s="32">
        <v>0</v>
      </c>
      <c r="Q407" s="32">
        <v>0</v>
      </c>
      <c r="R407" s="32">
        <v>0</v>
      </c>
      <c r="S407" s="32">
        <v>0</v>
      </c>
      <c r="T407" s="32">
        <v>0</v>
      </c>
      <c r="U407" s="32">
        <v>5125145.21</v>
      </c>
      <c r="V407" s="32">
        <v>0</v>
      </c>
      <c r="W407" s="32">
        <v>0</v>
      </c>
      <c r="X407" s="32">
        <v>0</v>
      </c>
      <c r="Y407" s="32">
        <v>0</v>
      </c>
      <c r="Z407" s="32">
        <v>0</v>
      </c>
      <c r="AA407" s="32">
        <v>0</v>
      </c>
      <c r="AB407" s="32">
        <v>0</v>
      </c>
      <c r="AC407" s="32">
        <f>ROUND(U407*1.5%,2)</f>
        <v>76877.179999999993</v>
      </c>
      <c r="AD407" s="32">
        <v>0</v>
      </c>
      <c r="AE407" s="32">
        <v>0</v>
      </c>
      <c r="AF407" s="35" t="s">
        <v>275</v>
      </c>
      <c r="AG407" s="35">
        <v>2020</v>
      </c>
      <c r="AH407" s="36">
        <v>2020</v>
      </c>
    </row>
    <row r="408" spans="1:46" ht="61.5" x14ac:dyDescent="0.85">
      <c r="A408" s="21">
        <v>1</v>
      </c>
      <c r="B408" s="70">
        <f>SUBTOTAL(103,$A$22:A408)</f>
        <v>353</v>
      </c>
      <c r="C408" s="25" t="s">
        <v>1330</v>
      </c>
      <c r="D408" s="32">
        <f t="shared" si="164"/>
        <v>1183452.6399999999</v>
      </c>
      <c r="E408" s="32">
        <v>0</v>
      </c>
      <c r="F408" s="32">
        <v>0</v>
      </c>
      <c r="G408" s="32">
        <v>0</v>
      </c>
      <c r="H408" s="32">
        <v>0</v>
      </c>
      <c r="I408" s="32">
        <v>0</v>
      </c>
      <c r="J408" s="32">
        <v>0</v>
      </c>
      <c r="K408" s="34">
        <v>0</v>
      </c>
      <c r="L408" s="32">
        <v>0</v>
      </c>
      <c r="M408" s="32">
        <v>335</v>
      </c>
      <c r="N408" s="32">
        <f>994964.85+52771.74</f>
        <v>1047736.59</v>
      </c>
      <c r="O408" s="32">
        <v>0</v>
      </c>
      <c r="P408" s="32">
        <v>0</v>
      </c>
      <c r="Q408" s="32">
        <v>0</v>
      </c>
      <c r="R408" s="32">
        <v>0</v>
      </c>
      <c r="S408" s="32">
        <v>0</v>
      </c>
      <c r="T408" s="32">
        <v>0</v>
      </c>
      <c r="U408" s="32">
        <v>0</v>
      </c>
      <c r="V408" s="32">
        <v>0</v>
      </c>
      <c r="W408" s="32">
        <v>0</v>
      </c>
      <c r="X408" s="32">
        <v>0</v>
      </c>
      <c r="Y408" s="32">
        <v>0</v>
      </c>
      <c r="Z408" s="32">
        <v>0</v>
      </c>
      <c r="AA408" s="32">
        <v>0</v>
      </c>
      <c r="AB408" s="32">
        <v>0</v>
      </c>
      <c r="AC408" s="32">
        <f>ROUND(N408*1.5%,2)</f>
        <v>15716.05</v>
      </c>
      <c r="AD408" s="32">
        <v>0</v>
      </c>
      <c r="AE408" s="32">
        <v>120000</v>
      </c>
      <c r="AF408" s="35" t="s">
        <v>275</v>
      </c>
      <c r="AG408" s="35">
        <v>2020</v>
      </c>
      <c r="AH408" s="36">
        <v>2020</v>
      </c>
    </row>
    <row r="409" spans="1:46" ht="61.5" x14ac:dyDescent="0.85">
      <c r="B409" s="25" t="s">
        <v>893</v>
      </c>
      <c r="C409" s="110"/>
      <c r="D409" s="32">
        <f>D410</f>
        <v>5141890.2</v>
      </c>
      <c r="E409" s="32">
        <f t="shared" ref="E409:AE409" si="166">E410</f>
        <v>0</v>
      </c>
      <c r="F409" s="32">
        <f t="shared" si="166"/>
        <v>0</v>
      </c>
      <c r="G409" s="32">
        <f t="shared" si="166"/>
        <v>0</v>
      </c>
      <c r="H409" s="32">
        <f t="shared" si="166"/>
        <v>0</v>
      </c>
      <c r="I409" s="32">
        <f t="shared" si="166"/>
        <v>0</v>
      </c>
      <c r="J409" s="32">
        <f t="shared" si="166"/>
        <v>0</v>
      </c>
      <c r="K409" s="34">
        <f t="shared" si="166"/>
        <v>0</v>
      </c>
      <c r="L409" s="32">
        <f t="shared" si="166"/>
        <v>0</v>
      </c>
      <c r="M409" s="32">
        <f t="shared" si="166"/>
        <v>1110</v>
      </c>
      <c r="N409" s="32">
        <f t="shared" si="166"/>
        <v>4880680</v>
      </c>
      <c r="O409" s="32">
        <f t="shared" si="166"/>
        <v>0</v>
      </c>
      <c r="P409" s="32">
        <f t="shared" si="166"/>
        <v>0</v>
      </c>
      <c r="Q409" s="32">
        <f t="shared" si="166"/>
        <v>0</v>
      </c>
      <c r="R409" s="32">
        <f t="shared" si="166"/>
        <v>0</v>
      </c>
      <c r="S409" s="32">
        <f t="shared" si="166"/>
        <v>0</v>
      </c>
      <c r="T409" s="32">
        <f t="shared" si="166"/>
        <v>0</v>
      </c>
      <c r="U409" s="32">
        <f t="shared" si="166"/>
        <v>0</v>
      </c>
      <c r="V409" s="32">
        <f t="shared" si="166"/>
        <v>0</v>
      </c>
      <c r="W409" s="32">
        <f t="shared" si="166"/>
        <v>0</v>
      </c>
      <c r="X409" s="32">
        <f t="shared" si="166"/>
        <v>0</v>
      </c>
      <c r="Y409" s="32">
        <f t="shared" si="166"/>
        <v>0</v>
      </c>
      <c r="Z409" s="32">
        <f t="shared" si="166"/>
        <v>0</v>
      </c>
      <c r="AA409" s="32">
        <f t="shared" si="166"/>
        <v>0</v>
      </c>
      <c r="AB409" s="32">
        <f t="shared" si="166"/>
        <v>0</v>
      </c>
      <c r="AC409" s="32">
        <f t="shared" si="166"/>
        <v>73210.2</v>
      </c>
      <c r="AD409" s="32">
        <f t="shared" si="166"/>
        <v>188000</v>
      </c>
      <c r="AE409" s="32">
        <f t="shared" si="166"/>
        <v>0</v>
      </c>
      <c r="AF409" s="77" t="s">
        <v>801</v>
      </c>
      <c r="AG409" s="77" t="s">
        <v>801</v>
      </c>
      <c r="AH409" s="107" t="s">
        <v>801</v>
      </c>
      <c r="AT409" s="21" t="e">
        <f>VLOOKUP(C409,AW:AX,2,FALSE)</f>
        <v>#N/A</v>
      </c>
    </row>
    <row r="410" spans="1:46" ht="61.5" x14ac:dyDescent="0.85">
      <c r="A410" s="21">
        <v>1</v>
      </c>
      <c r="B410" s="70">
        <f>SUBTOTAL(103,$A$22:A410)</f>
        <v>354</v>
      </c>
      <c r="C410" s="25" t="s">
        <v>40</v>
      </c>
      <c r="D410" s="32">
        <f t="shared" ref="D410" si="167">E410+F410+G410+H410+I410+J410+L410+N410+P410+R410+T410+U410+V410+W410+X410+Y410+Z410+AA410+AB410+AC410+AD410+AE410</f>
        <v>5141890.2</v>
      </c>
      <c r="E410" s="32">
        <v>0</v>
      </c>
      <c r="F410" s="32">
        <v>0</v>
      </c>
      <c r="G410" s="32">
        <v>0</v>
      </c>
      <c r="H410" s="32">
        <v>0</v>
      </c>
      <c r="I410" s="32">
        <v>0</v>
      </c>
      <c r="J410" s="32">
        <v>0</v>
      </c>
      <c r="K410" s="34">
        <v>0</v>
      </c>
      <c r="L410" s="32">
        <v>0</v>
      </c>
      <c r="M410" s="32">
        <v>1110</v>
      </c>
      <c r="N410" s="32">
        <f>4569884.04-985.22+311781.18</f>
        <v>4880680</v>
      </c>
      <c r="O410" s="32">
        <v>0</v>
      </c>
      <c r="P410" s="32">
        <v>0</v>
      </c>
      <c r="Q410" s="32">
        <v>0</v>
      </c>
      <c r="R410" s="32">
        <v>0</v>
      </c>
      <c r="S410" s="32">
        <v>0</v>
      </c>
      <c r="T410" s="32">
        <v>0</v>
      </c>
      <c r="U410" s="32">
        <v>0</v>
      </c>
      <c r="V410" s="32">
        <v>0</v>
      </c>
      <c r="W410" s="32">
        <v>0</v>
      </c>
      <c r="X410" s="32">
        <v>0</v>
      </c>
      <c r="Y410" s="32">
        <v>0</v>
      </c>
      <c r="Z410" s="32">
        <v>0</v>
      </c>
      <c r="AA410" s="32">
        <v>0</v>
      </c>
      <c r="AB410" s="32">
        <v>0</v>
      </c>
      <c r="AC410" s="32">
        <f>ROUND(N410*1.5%,2)</f>
        <v>73210.2</v>
      </c>
      <c r="AD410" s="32">
        <v>188000</v>
      </c>
      <c r="AE410" s="32">
        <v>0</v>
      </c>
      <c r="AF410" s="35">
        <v>2020</v>
      </c>
      <c r="AG410" s="35">
        <v>2020</v>
      </c>
      <c r="AH410" s="36">
        <v>2020</v>
      </c>
      <c r="AT410" s="21" t="e">
        <f>VLOOKUP(C410,AW:AX,2,FALSE)</f>
        <v>#N/A</v>
      </c>
    </row>
    <row r="411" spans="1:46" ht="61.5" x14ac:dyDescent="0.85">
      <c r="B411" s="25" t="s">
        <v>894</v>
      </c>
      <c r="C411" s="25"/>
      <c r="D411" s="32">
        <f>D412+D413</f>
        <v>10283645.739999998</v>
      </c>
      <c r="E411" s="32">
        <f t="shared" ref="E411:AE411" si="168">E412+E413</f>
        <v>561649.39</v>
      </c>
      <c r="F411" s="32">
        <f t="shared" si="168"/>
        <v>492637.49</v>
      </c>
      <c r="G411" s="32">
        <f t="shared" si="168"/>
        <v>2246215.7799999998</v>
      </c>
      <c r="H411" s="32">
        <f t="shared" si="168"/>
        <v>432886.63</v>
      </c>
      <c r="I411" s="32">
        <f t="shared" si="168"/>
        <v>0</v>
      </c>
      <c r="J411" s="32">
        <f t="shared" si="168"/>
        <v>0</v>
      </c>
      <c r="K411" s="34">
        <f t="shared" si="168"/>
        <v>0</v>
      </c>
      <c r="L411" s="32">
        <f t="shared" si="168"/>
        <v>0</v>
      </c>
      <c r="M411" s="32">
        <f t="shared" si="168"/>
        <v>1420</v>
      </c>
      <c r="N411" s="32">
        <f t="shared" si="168"/>
        <v>6220941.4899999993</v>
      </c>
      <c r="O411" s="32">
        <f t="shared" si="168"/>
        <v>0</v>
      </c>
      <c r="P411" s="32">
        <f t="shared" si="168"/>
        <v>0</v>
      </c>
      <c r="Q411" s="32">
        <f t="shared" si="168"/>
        <v>0</v>
      </c>
      <c r="R411" s="32">
        <f t="shared" si="168"/>
        <v>0</v>
      </c>
      <c r="S411" s="32">
        <f t="shared" si="168"/>
        <v>0</v>
      </c>
      <c r="T411" s="32">
        <f t="shared" si="168"/>
        <v>0</v>
      </c>
      <c r="U411" s="32">
        <f t="shared" si="168"/>
        <v>0</v>
      </c>
      <c r="V411" s="32">
        <f t="shared" si="168"/>
        <v>0</v>
      </c>
      <c r="W411" s="32">
        <f t="shared" si="168"/>
        <v>0</v>
      </c>
      <c r="X411" s="32">
        <f t="shared" si="168"/>
        <v>0</v>
      </c>
      <c r="Y411" s="32">
        <f t="shared" si="168"/>
        <v>0</v>
      </c>
      <c r="Z411" s="32">
        <f t="shared" si="168"/>
        <v>0</v>
      </c>
      <c r="AA411" s="32">
        <f t="shared" si="168"/>
        <v>0</v>
      </c>
      <c r="AB411" s="32">
        <f t="shared" si="168"/>
        <v>0</v>
      </c>
      <c r="AC411" s="32">
        <f t="shared" si="168"/>
        <v>149314.96</v>
      </c>
      <c r="AD411" s="32">
        <f t="shared" si="168"/>
        <v>180000</v>
      </c>
      <c r="AE411" s="32">
        <f t="shared" si="168"/>
        <v>0</v>
      </c>
      <c r="AF411" s="77" t="s">
        <v>801</v>
      </c>
      <c r="AG411" s="77" t="s">
        <v>801</v>
      </c>
      <c r="AH411" s="107" t="s">
        <v>801</v>
      </c>
      <c r="AT411" s="21" t="e">
        <f>VLOOKUP(C411,AW:AX,2,FALSE)</f>
        <v>#N/A</v>
      </c>
    </row>
    <row r="412" spans="1:46" ht="61.5" x14ac:dyDescent="0.85">
      <c r="A412" s="21">
        <v>1</v>
      </c>
      <c r="B412" s="70">
        <f>SUBTOTAL(103,$A$22:A412)</f>
        <v>355</v>
      </c>
      <c r="C412" s="25" t="s">
        <v>64</v>
      </c>
      <c r="D412" s="32">
        <f t="shared" ref="D412:D413" si="169">E412+F412+G412+H412+I412+J412+L412+N412+P412+R412+T412+U412+V412+W412+X412+Y412+Z412+AA412+AB412+AC412+AD412+AE412</f>
        <v>6494255.6099999994</v>
      </c>
      <c r="E412" s="32">
        <v>0</v>
      </c>
      <c r="F412" s="32">
        <v>0</v>
      </c>
      <c r="G412" s="32">
        <v>0</v>
      </c>
      <c r="H412" s="32">
        <v>0</v>
      </c>
      <c r="I412" s="32">
        <v>0</v>
      </c>
      <c r="J412" s="32">
        <v>0</v>
      </c>
      <c r="K412" s="34">
        <v>0</v>
      </c>
      <c r="L412" s="32">
        <v>0</v>
      </c>
      <c r="M412" s="32">
        <v>1420</v>
      </c>
      <c r="N412" s="32">
        <f>5786396.52+434544.97</f>
        <v>6220941.4899999993</v>
      </c>
      <c r="O412" s="32">
        <v>0</v>
      </c>
      <c r="P412" s="32">
        <v>0</v>
      </c>
      <c r="Q412" s="32">
        <v>0</v>
      </c>
      <c r="R412" s="32">
        <v>0</v>
      </c>
      <c r="S412" s="32">
        <v>0</v>
      </c>
      <c r="T412" s="32">
        <v>0</v>
      </c>
      <c r="U412" s="32">
        <v>0</v>
      </c>
      <c r="V412" s="32">
        <v>0</v>
      </c>
      <c r="W412" s="32">
        <v>0</v>
      </c>
      <c r="X412" s="32">
        <v>0</v>
      </c>
      <c r="Y412" s="32">
        <v>0</v>
      </c>
      <c r="Z412" s="32">
        <v>0</v>
      </c>
      <c r="AA412" s="32">
        <v>0</v>
      </c>
      <c r="AB412" s="32">
        <v>0</v>
      </c>
      <c r="AC412" s="32">
        <f>ROUND(N412*1.5%,2)</f>
        <v>93314.12</v>
      </c>
      <c r="AD412" s="32">
        <v>180000</v>
      </c>
      <c r="AE412" s="32">
        <v>0</v>
      </c>
      <c r="AF412" s="35">
        <v>2020</v>
      </c>
      <c r="AG412" s="35">
        <v>2020</v>
      </c>
      <c r="AH412" s="36">
        <v>2020</v>
      </c>
      <c r="AT412" s="21" t="e">
        <f>VLOOKUP(C412,AW:AX,2,FALSE)</f>
        <v>#N/A</v>
      </c>
    </row>
    <row r="413" spans="1:46" ht="61.5" x14ac:dyDescent="0.85">
      <c r="A413" s="21">
        <v>1</v>
      </c>
      <c r="B413" s="70">
        <f>SUBTOTAL(103,$A$22:A413)</f>
        <v>356</v>
      </c>
      <c r="C413" s="25" t="s">
        <v>1343</v>
      </c>
      <c r="D413" s="32">
        <f t="shared" si="169"/>
        <v>3789390.1299999994</v>
      </c>
      <c r="E413" s="32">
        <v>561649.39</v>
      </c>
      <c r="F413" s="32">
        <v>492637.49</v>
      </c>
      <c r="G413" s="32">
        <v>2246215.7799999998</v>
      </c>
      <c r="H413" s="32">
        <v>432886.63</v>
      </c>
      <c r="I413" s="32">
        <v>0</v>
      </c>
      <c r="J413" s="32">
        <v>0</v>
      </c>
      <c r="K413" s="34">
        <v>0</v>
      </c>
      <c r="L413" s="32">
        <v>0</v>
      </c>
      <c r="M413" s="32">
        <v>0</v>
      </c>
      <c r="N413" s="32">
        <v>0</v>
      </c>
      <c r="O413" s="32">
        <v>0</v>
      </c>
      <c r="P413" s="32">
        <v>0</v>
      </c>
      <c r="Q413" s="32">
        <v>0</v>
      </c>
      <c r="R413" s="32">
        <v>0</v>
      </c>
      <c r="S413" s="32">
        <v>0</v>
      </c>
      <c r="T413" s="32">
        <v>0</v>
      </c>
      <c r="U413" s="32">
        <v>0</v>
      </c>
      <c r="V413" s="32">
        <v>0</v>
      </c>
      <c r="W413" s="32">
        <v>0</v>
      </c>
      <c r="X413" s="32">
        <v>0</v>
      </c>
      <c r="Y413" s="32">
        <v>0</v>
      </c>
      <c r="Z413" s="32">
        <v>0</v>
      </c>
      <c r="AA413" s="32">
        <v>0</v>
      </c>
      <c r="AB413" s="32">
        <v>0</v>
      </c>
      <c r="AC413" s="32">
        <f>ROUND((E413+F413+G413+H413+I413+J413)*1.5%,2)</f>
        <v>56000.84</v>
      </c>
      <c r="AD413" s="32">
        <v>0</v>
      </c>
      <c r="AE413" s="32">
        <v>0</v>
      </c>
      <c r="AF413" s="35" t="s">
        <v>275</v>
      </c>
      <c r="AG413" s="35">
        <v>2020</v>
      </c>
      <c r="AH413" s="36">
        <v>2020</v>
      </c>
    </row>
    <row r="414" spans="1:46" ht="61.5" x14ac:dyDescent="0.85">
      <c r="B414" s="25" t="s">
        <v>895</v>
      </c>
      <c r="C414" s="25"/>
      <c r="D414" s="32">
        <f>SUM(D415:D422)</f>
        <v>38102188.490000002</v>
      </c>
      <c r="E414" s="32">
        <f t="shared" ref="E414:AE414" si="170">SUM(E415:E422)</f>
        <v>1793760.35</v>
      </c>
      <c r="F414" s="32">
        <f t="shared" si="170"/>
        <v>3992715.51</v>
      </c>
      <c r="G414" s="32">
        <f t="shared" si="170"/>
        <v>12561799.350000001</v>
      </c>
      <c r="H414" s="32">
        <f t="shared" si="170"/>
        <v>2886468.23</v>
      </c>
      <c r="I414" s="32">
        <f t="shared" si="170"/>
        <v>2566567.56</v>
      </c>
      <c r="J414" s="32">
        <f t="shared" si="170"/>
        <v>0</v>
      </c>
      <c r="K414" s="34">
        <f t="shared" si="170"/>
        <v>0</v>
      </c>
      <c r="L414" s="32">
        <f t="shared" si="170"/>
        <v>0</v>
      </c>
      <c r="M414" s="32">
        <f t="shared" si="170"/>
        <v>1979.1</v>
      </c>
      <c r="N414" s="32">
        <f t="shared" si="170"/>
        <v>9703609.0899999999</v>
      </c>
      <c r="O414" s="32">
        <f t="shared" si="170"/>
        <v>0</v>
      </c>
      <c r="P414" s="32">
        <f t="shared" si="170"/>
        <v>0</v>
      </c>
      <c r="Q414" s="32">
        <f t="shared" si="170"/>
        <v>858.98</v>
      </c>
      <c r="R414" s="32">
        <f t="shared" si="170"/>
        <v>3790310.23</v>
      </c>
      <c r="S414" s="32">
        <f t="shared" si="170"/>
        <v>0</v>
      </c>
      <c r="T414" s="32">
        <f t="shared" si="170"/>
        <v>0</v>
      </c>
      <c r="U414" s="32">
        <f t="shared" si="170"/>
        <v>0</v>
      </c>
      <c r="V414" s="32">
        <f t="shared" si="170"/>
        <v>0</v>
      </c>
      <c r="W414" s="32">
        <f t="shared" si="170"/>
        <v>0</v>
      </c>
      <c r="X414" s="32">
        <f t="shared" si="170"/>
        <v>0</v>
      </c>
      <c r="Y414" s="32">
        <f t="shared" si="170"/>
        <v>0</v>
      </c>
      <c r="Z414" s="32">
        <f t="shared" si="170"/>
        <v>0</v>
      </c>
      <c r="AA414" s="32">
        <f t="shared" si="170"/>
        <v>0</v>
      </c>
      <c r="AB414" s="32">
        <f t="shared" si="170"/>
        <v>0</v>
      </c>
      <c r="AC414" s="32">
        <f t="shared" si="170"/>
        <v>426958.17000000004</v>
      </c>
      <c r="AD414" s="32">
        <f t="shared" si="170"/>
        <v>380000</v>
      </c>
      <c r="AE414" s="32">
        <f t="shared" si="170"/>
        <v>0</v>
      </c>
      <c r="AF414" s="77" t="s">
        <v>801</v>
      </c>
      <c r="AG414" s="77" t="s">
        <v>801</v>
      </c>
      <c r="AH414" s="107" t="s">
        <v>801</v>
      </c>
      <c r="AT414" s="21" t="e">
        <f>VLOOKUP(C414,AW:AX,2,FALSE)</f>
        <v>#N/A</v>
      </c>
    </row>
    <row r="415" spans="1:46" ht="61.5" x14ac:dyDescent="0.85">
      <c r="A415" s="21">
        <v>1</v>
      </c>
      <c r="B415" s="70">
        <f>SUBTOTAL(103,$A$22:A415)</f>
        <v>357</v>
      </c>
      <c r="C415" s="25" t="s">
        <v>47</v>
      </c>
      <c r="D415" s="32">
        <f t="shared" ref="D415:D422" si="171">E415+F415+G415+H415+I415+J415+L415+N415+P415+R415+T415+U415+V415+W415+X415+Y415+Z415+AA415+AB415+AC415+AD415+AE415</f>
        <v>3272502.06</v>
      </c>
      <c r="E415" s="32">
        <v>0</v>
      </c>
      <c r="F415" s="32">
        <v>0</v>
      </c>
      <c r="G415" s="32">
        <v>0</v>
      </c>
      <c r="H415" s="32">
        <v>0</v>
      </c>
      <c r="I415" s="32">
        <v>0</v>
      </c>
      <c r="J415" s="32">
        <v>0</v>
      </c>
      <c r="K415" s="34">
        <v>0</v>
      </c>
      <c r="L415" s="32">
        <v>0</v>
      </c>
      <c r="M415" s="32">
        <v>626.70000000000005</v>
      </c>
      <c r="N415" s="32">
        <v>3096061.14</v>
      </c>
      <c r="O415" s="32">
        <v>0</v>
      </c>
      <c r="P415" s="32">
        <v>0</v>
      </c>
      <c r="Q415" s="32">
        <v>0</v>
      </c>
      <c r="R415" s="32">
        <v>0</v>
      </c>
      <c r="S415" s="32">
        <v>0</v>
      </c>
      <c r="T415" s="32">
        <v>0</v>
      </c>
      <c r="U415" s="32">
        <v>0</v>
      </c>
      <c r="V415" s="32">
        <v>0</v>
      </c>
      <c r="W415" s="32">
        <v>0</v>
      </c>
      <c r="X415" s="32">
        <v>0</v>
      </c>
      <c r="Y415" s="32">
        <v>0</v>
      </c>
      <c r="Z415" s="32">
        <v>0</v>
      </c>
      <c r="AA415" s="32">
        <v>0</v>
      </c>
      <c r="AB415" s="32">
        <v>0</v>
      </c>
      <c r="AC415" s="32">
        <f t="shared" ref="AC415:AC417" si="172">ROUND(N415*1.5%,2)</f>
        <v>46440.92</v>
      </c>
      <c r="AD415" s="32">
        <v>130000</v>
      </c>
      <c r="AE415" s="32">
        <v>0</v>
      </c>
      <c r="AF415" s="35">
        <v>2020</v>
      </c>
      <c r="AG415" s="35">
        <v>2020</v>
      </c>
      <c r="AH415" s="36">
        <v>2020</v>
      </c>
      <c r="AT415" s="21" t="e">
        <f>VLOOKUP(C415,AW:AX,2,FALSE)</f>
        <v>#N/A</v>
      </c>
    </row>
    <row r="416" spans="1:46" ht="61.5" x14ac:dyDescent="0.85">
      <c r="A416" s="21">
        <v>1</v>
      </c>
      <c r="B416" s="70">
        <f>SUBTOTAL(103,$A$22:A416)</f>
        <v>358</v>
      </c>
      <c r="C416" s="25" t="s">
        <v>48</v>
      </c>
      <c r="D416" s="32">
        <f t="shared" si="171"/>
        <v>3699123.12</v>
      </c>
      <c r="E416" s="32">
        <v>0</v>
      </c>
      <c r="F416" s="32">
        <v>0</v>
      </c>
      <c r="G416" s="32">
        <v>0</v>
      </c>
      <c r="H416" s="32">
        <v>0</v>
      </c>
      <c r="I416" s="32">
        <v>0</v>
      </c>
      <c r="J416" s="32">
        <v>0</v>
      </c>
      <c r="K416" s="34">
        <v>0</v>
      </c>
      <c r="L416" s="32">
        <v>0</v>
      </c>
      <c r="M416" s="32">
        <v>708.4</v>
      </c>
      <c r="N416" s="32">
        <v>3516377.46</v>
      </c>
      <c r="O416" s="32">
        <v>0</v>
      </c>
      <c r="P416" s="32">
        <v>0</v>
      </c>
      <c r="Q416" s="32">
        <v>0</v>
      </c>
      <c r="R416" s="32">
        <v>0</v>
      </c>
      <c r="S416" s="32">
        <v>0</v>
      </c>
      <c r="T416" s="32">
        <v>0</v>
      </c>
      <c r="U416" s="32">
        <v>0</v>
      </c>
      <c r="V416" s="32">
        <v>0</v>
      </c>
      <c r="W416" s="32">
        <v>0</v>
      </c>
      <c r="X416" s="32">
        <v>0</v>
      </c>
      <c r="Y416" s="32">
        <v>0</v>
      </c>
      <c r="Z416" s="32">
        <v>0</v>
      </c>
      <c r="AA416" s="32">
        <v>0</v>
      </c>
      <c r="AB416" s="32">
        <v>0</v>
      </c>
      <c r="AC416" s="32">
        <f t="shared" si="172"/>
        <v>52745.66</v>
      </c>
      <c r="AD416" s="32">
        <v>130000</v>
      </c>
      <c r="AE416" s="32">
        <v>0</v>
      </c>
      <c r="AF416" s="35">
        <v>2020</v>
      </c>
      <c r="AG416" s="35">
        <v>2020</v>
      </c>
      <c r="AH416" s="36">
        <v>2020</v>
      </c>
      <c r="AT416" s="21" t="e">
        <f>VLOOKUP(C416,AW:AX,2,FALSE)</f>
        <v>#N/A</v>
      </c>
    </row>
    <row r="417" spans="1:46" ht="61.5" x14ac:dyDescent="0.85">
      <c r="A417" s="21">
        <v>1</v>
      </c>
      <c r="B417" s="70">
        <f>SUBTOTAL(103,$A$22:A417)</f>
        <v>359</v>
      </c>
      <c r="C417" s="25" t="s">
        <v>847</v>
      </c>
      <c r="D417" s="32">
        <f t="shared" si="171"/>
        <v>3257538.05</v>
      </c>
      <c r="E417" s="32">
        <v>0</v>
      </c>
      <c r="F417" s="32">
        <v>0</v>
      </c>
      <c r="G417" s="32">
        <v>0</v>
      </c>
      <c r="H417" s="32">
        <v>0</v>
      </c>
      <c r="I417" s="32">
        <v>0</v>
      </c>
      <c r="J417" s="32">
        <v>0</v>
      </c>
      <c r="K417" s="34">
        <v>0</v>
      </c>
      <c r="L417" s="32">
        <v>0</v>
      </c>
      <c r="M417" s="32">
        <v>644</v>
      </c>
      <c r="N417" s="32">
        <v>3091170.4899999998</v>
      </c>
      <c r="O417" s="32">
        <v>0</v>
      </c>
      <c r="P417" s="32">
        <v>0</v>
      </c>
      <c r="Q417" s="32">
        <v>0</v>
      </c>
      <c r="R417" s="32">
        <v>0</v>
      </c>
      <c r="S417" s="32">
        <v>0</v>
      </c>
      <c r="T417" s="32">
        <v>0</v>
      </c>
      <c r="U417" s="32">
        <v>0</v>
      </c>
      <c r="V417" s="32">
        <v>0</v>
      </c>
      <c r="W417" s="32">
        <v>0</v>
      </c>
      <c r="X417" s="32">
        <v>0</v>
      </c>
      <c r="Y417" s="32">
        <v>0</v>
      </c>
      <c r="Z417" s="32">
        <v>0</v>
      </c>
      <c r="AA417" s="32">
        <v>0</v>
      </c>
      <c r="AB417" s="32">
        <v>0</v>
      </c>
      <c r="AC417" s="32">
        <f t="shared" si="172"/>
        <v>46367.56</v>
      </c>
      <c r="AD417" s="32">
        <v>120000</v>
      </c>
      <c r="AE417" s="32">
        <v>0</v>
      </c>
      <c r="AF417" s="35">
        <v>2020</v>
      </c>
      <c r="AG417" s="35">
        <v>2020</v>
      </c>
      <c r="AH417" s="36">
        <v>2020</v>
      </c>
      <c r="AT417" s="21" t="e">
        <f>VLOOKUP(C417,AW:AX,2,FALSE)</f>
        <v>#N/A</v>
      </c>
    </row>
    <row r="418" spans="1:46" ht="61.5" x14ac:dyDescent="0.85">
      <c r="A418" s="21">
        <v>1</v>
      </c>
      <c r="B418" s="70">
        <f>SUBTOTAL(103,$A$22:A418)</f>
        <v>360</v>
      </c>
      <c r="C418" s="25" t="s">
        <v>1331</v>
      </c>
      <c r="D418" s="32">
        <f t="shared" si="171"/>
        <v>5752371.9299999997</v>
      </c>
      <c r="E418" s="32">
        <v>474459.94</v>
      </c>
      <c r="F418" s="32">
        <v>784649.16</v>
      </c>
      <c r="G418" s="32">
        <v>3807658.99</v>
      </c>
      <c r="H418" s="32">
        <v>601012.22</v>
      </c>
      <c r="I418" s="32">
        <v>0</v>
      </c>
      <c r="J418" s="32">
        <v>0</v>
      </c>
      <c r="K418" s="34">
        <v>0</v>
      </c>
      <c r="L418" s="32">
        <v>0</v>
      </c>
      <c r="M418" s="32">
        <v>0</v>
      </c>
      <c r="N418" s="32">
        <v>0</v>
      </c>
      <c r="O418" s="32">
        <v>0</v>
      </c>
      <c r="P418" s="32">
        <v>0</v>
      </c>
      <c r="Q418" s="32">
        <v>0</v>
      </c>
      <c r="R418" s="32">
        <v>0</v>
      </c>
      <c r="S418" s="32">
        <v>0</v>
      </c>
      <c r="T418" s="32">
        <v>0</v>
      </c>
      <c r="U418" s="32">
        <v>0</v>
      </c>
      <c r="V418" s="32">
        <v>0</v>
      </c>
      <c r="W418" s="32">
        <v>0</v>
      </c>
      <c r="X418" s="32">
        <v>0</v>
      </c>
      <c r="Y418" s="32">
        <v>0</v>
      </c>
      <c r="Z418" s="32">
        <v>0</v>
      </c>
      <c r="AA418" s="32">
        <v>0</v>
      </c>
      <c r="AB418" s="32">
        <v>0</v>
      </c>
      <c r="AC418" s="32">
        <f>ROUND((E418+F418+G418+H418+I418+J418)*1.4925%,2)</f>
        <v>84591.62</v>
      </c>
      <c r="AD418" s="32">
        <v>0</v>
      </c>
      <c r="AE418" s="32">
        <v>0</v>
      </c>
      <c r="AF418" s="35" t="s">
        <v>275</v>
      </c>
      <c r="AG418" s="35">
        <v>2020</v>
      </c>
      <c r="AH418" s="36">
        <v>2020</v>
      </c>
    </row>
    <row r="419" spans="1:46" ht="61.5" x14ac:dyDescent="0.85">
      <c r="A419" s="21">
        <v>1</v>
      </c>
      <c r="B419" s="70">
        <f>SUBTOTAL(103,$A$22:A419)</f>
        <v>361</v>
      </c>
      <c r="C419" s="25" t="s">
        <v>1332</v>
      </c>
      <c r="D419" s="32">
        <f t="shared" si="171"/>
        <v>6301674.0800000001</v>
      </c>
      <c r="E419" s="32">
        <v>584781.13</v>
      </c>
      <c r="F419" s="32">
        <v>1252914.03</v>
      </c>
      <c r="G419" s="32">
        <v>3308641.56</v>
      </c>
      <c r="H419" s="32">
        <v>1062667.97</v>
      </c>
      <c r="I419" s="32">
        <v>0</v>
      </c>
      <c r="J419" s="32">
        <v>0</v>
      </c>
      <c r="K419" s="34">
        <v>0</v>
      </c>
      <c r="L419" s="32">
        <v>0</v>
      </c>
      <c r="M419" s="32">
        <v>0</v>
      </c>
      <c r="N419" s="32">
        <v>0</v>
      </c>
      <c r="O419" s="32">
        <v>0</v>
      </c>
      <c r="P419" s="32">
        <v>0</v>
      </c>
      <c r="Q419" s="32">
        <v>0</v>
      </c>
      <c r="R419" s="32">
        <v>0</v>
      </c>
      <c r="S419" s="32">
        <v>0</v>
      </c>
      <c r="T419" s="32">
        <v>0</v>
      </c>
      <c r="U419" s="32">
        <v>0</v>
      </c>
      <c r="V419" s="32">
        <v>0</v>
      </c>
      <c r="W419" s="32">
        <v>0</v>
      </c>
      <c r="X419" s="32">
        <v>0</v>
      </c>
      <c r="Y419" s="32">
        <v>0</v>
      </c>
      <c r="Z419" s="32">
        <v>0</v>
      </c>
      <c r="AA419" s="32">
        <v>0</v>
      </c>
      <c r="AB419" s="32">
        <v>0</v>
      </c>
      <c r="AC419" s="32">
        <f>ROUND((E419+F419+G419+H419+I419+J419)*1.4925%,2)</f>
        <v>92669.39</v>
      </c>
      <c r="AD419" s="32">
        <v>0</v>
      </c>
      <c r="AE419" s="32">
        <v>0</v>
      </c>
      <c r="AF419" s="35" t="s">
        <v>275</v>
      </c>
      <c r="AG419" s="35">
        <v>2020</v>
      </c>
      <c r="AH419" s="36">
        <v>2020</v>
      </c>
    </row>
    <row r="420" spans="1:46" ht="61.5" x14ac:dyDescent="0.85">
      <c r="A420" s="21">
        <v>1</v>
      </c>
      <c r="B420" s="70">
        <f>SUBTOTAL(103,$A$22:A420)</f>
        <v>362</v>
      </c>
      <c r="C420" s="25" t="s">
        <v>1333</v>
      </c>
      <c r="D420" s="32">
        <f t="shared" si="171"/>
        <v>3267591.73</v>
      </c>
      <c r="E420" s="32">
        <v>0</v>
      </c>
      <c r="F420" s="32">
        <v>0</v>
      </c>
      <c r="G420" s="32">
        <v>3219540.09</v>
      </c>
      <c r="H420" s="32">
        <v>0</v>
      </c>
      <c r="I420" s="32">
        <v>0</v>
      </c>
      <c r="J420" s="32">
        <v>0</v>
      </c>
      <c r="K420" s="34">
        <v>0</v>
      </c>
      <c r="L420" s="32">
        <v>0</v>
      </c>
      <c r="M420" s="32">
        <v>0</v>
      </c>
      <c r="N420" s="32">
        <v>0</v>
      </c>
      <c r="O420" s="32">
        <v>0</v>
      </c>
      <c r="P420" s="32">
        <v>0</v>
      </c>
      <c r="Q420" s="32">
        <v>0</v>
      </c>
      <c r="R420" s="32">
        <v>0</v>
      </c>
      <c r="S420" s="32">
        <v>0</v>
      </c>
      <c r="T420" s="32">
        <v>0</v>
      </c>
      <c r="U420" s="32">
        <v>0</v>
      </c>
      <c r="V420" s="32">
        <v>0</v>
      </c>
      <c r="W420" s="32">
        <v>0</v>
      </c>
      <c r="X420" s="32">
        <v>0</v>
      </c>
      <c r="Y420" s="32">
        <v>0</v>
      </c>
      <c r="Z420" s="32">
        <v>0</v>
      </c>
      <c r="AA420" s="32">
        <v>0</v>
      </c>
      <c r="AB420" s="32">
        <v>0</v>
      </c>
      <c r="AC420" s="32">
        <f>ROUND((E420+F420+G420+H420+I420+J420)*1.4925%,2)</f>
        <v>48051.64</v>
      </c>
      <c r="AD420" s="32">
        <v>0</v>
      </c>
      <c r="AE420" s="32">
        <v>0</v>
      </c>
      <c r="AF420" s="35" t="s">
        <v>275</v>
      </c>
      <c r="AG420" s="35">
        <v>2020</v>
      </c>
      <c r="AH420" s="36">
        <v>2020</v>
      </c>
    </row>
    <row r="421" spans="1:46" ht="61.5" x14ac:dyDescent="0.85">
      <c r="A421" s="21">
        <v>1</v>
      </c>
      <c r="B421" s="70">
        <f>SUBTOTAL(103,$A$22:A421)</f>
        <v>363</v>
      </c>
      <c r="C421" s="25" t="s">
        <v>1334</v>
      </c>
      <c r="D421" s="32">
        <f t="shared" si="171"/>
        <v>8744062.5899999999</v>
      </c>
      <c r="E421" s="32">
        <v>734519.28</v>
      </c>
      <c r="F421" s="32">
        <v>1955152.32</v>
      </c>
      <c r="G421" s="32">
        <f>2197143.37+28815.34</f>
        <v>2225958.71</v>
      </c>
      <c r="H421" s="32">
        <v>1222788.04</v>
      </c>
      <c r="I421" s="32">
        <v>2566567.56</v>
      </c>
      <c r="J421" s="32">
        <v>0</v>
      </c>
      <c r="K421" s="34">
        <v>0</v>
      </c>
      <c r="L421" s="32">
        <v>0</v>
      </c>
      <c r="M421" s="32">
        <v>0</v>
      </c>
      <c r="N421" s="32">
        <v>0</v>
      </c>
      <c r="O421" s="32">
        <v>0</v>
      </c>
      <c r="P421" s="32">
        <v>0</v>
      </c>
      <c r="Q421" s="32">
        <v>0</v>
      </c>
      <c r="R421" s="32">
        <v>0</v>
      </c>
      <c r="S421" s="32">
        <v>0</v>
      </c>
      <c r="T421" s="32">
        <v>0</v>
      </c>
      <c r="U421" s="32">
        <v>0</v>
      </c>
      <c r="V421" s="32">
        <v>0</v>
      </c>
      <c r="W421" s="32">
        <v>0</v>
      </c>
      <c r="X421" s="32">
        <v>0</v>
      </c>
      <c r="Y421" s="32">
        <v>0</v>
      </c>
      <c r="Z421" s="32">
        <v>0</v>
      </c>
      <c r="AA421" s="32">
        <v>0</v>
      </c>
      <c r="AB421" s="32">
        <v>0</v>
      </c>
      <c r="AC421" s="32">
        <f>ROUND((E421+F421+G421+H421+I421+J421)*0.4489%,2)</f>
        <v>39076.68</v>
      </c>
      <c r="AD421" s="32">
        <v>0</v>
      </c>
      <c r="AE421" s="32">
        <v>0</v>
      </c>
      <c r="AF421" s="35" t="s">
        <v>275</v>
      </c>
      <c r="AG421" s="35">
        <v>2020</v>
      </c>
      <c r="AH421" s="36">
        <v>2020</v>
      </c>
    </row>
    <row r="422" spans="1:46" ht="61.5" x14ac:dyDescent="0.85">
      <c r="A422" s="21">
        <v>1</v>
      </c>
      <c r="B422" s="70">
        <f>SUBTOTAL(103,$A$22:A422)</f>
        <v>364</v>
      </c>
      <c r="C422" s="25" t="s">
        <v>1335</v>
      </c>
      <c r="D422" s="32">
        <f t="shared" si="171"/>
        <v>3807324.93</v>
      </c>
      <c r="E422" s="32">
        <v>0</v>
      </c>
      <c r="F422" s="32">
        <v>0</v>
      </c>
      <c r="G422" s="32">
        <v>0</v>
      </c>
      <c r="H422" s="32">
        <v>0</v>
      </c>
      <c r="I422" s="32">
        <v>0</v>
      </c>
      <c r="J422" s="32">
        <v>0</v>
      </c>
      <c r="K422" s="34">
        <v>0</v>
      </c>
      <c r="L422" s="32">
        <v>0</v>
      </c>
      <c r="M422" s="32">
        <v>0</v>
      </c>
      <c r="N422" s="32">
        <v>0</v>
      </c>
      <c r="O422" s="32">
        <v>0</v>
      </c>
      <c r="P422" s="32">
        <v>0</v>
      </c>
      <c r="Q422" s="32">
        <v>858.98</v>
      </c>
      <c r="R422" s="32">
        <v>3790310.23</v>
      </c>
      <c r="S422" s="32">
        <v>0</v>
      </c>
      <c r="T422" s="32">
        <v>0</v>
      </c>
      <c r="U422" s="32">
        <v>0</v>
      </c>
      <c r="V422" s="32">
        <v>0</v>
      </c>
      <c r="W422" s="32">
        <v>0</v>
      </c>
      <c r="X422" s="32">
        <v>0</v>
      </c>
      <c r="Y422" s="32">
        <v>0</v>
      </c>
      <c r="Z422" s="32">
        <v>0</v>
      </c>
      <c r="AA422" s="32">
        <v>0</v>
      </c>
      <c r="AB422" s="32">
        <v>0</v>
      </c>
      <c r="AC422" s="32">
        <f>ROUND(R422*0.4489%,2)</f>
        <v>17014.7</v>
      </c>
      <c r="AD422" s="32">
        <v>0</v>
      </c>
      <c r="AE422" s="32">
        <v>0</v>
      </c>
      <c r="AF422" s="35" t="s">
        <v>275</v>
      </c>
      <c r="AG422" s="35">
        <v>2020</v>
      </c>
      <c r="AH422" s="36">
        <v>2020</v>
      </c>
    </row>
    <row r="423" spans="1:46" ht="61.5" x14ac:dyDescent="0.85">
      <c r="B423" s="25" t="s">
        <v>896</v>
      </c>
      <c r="C423" s="25"/>
      <c r="D423" s="32">
        <f>SUM(D424:D428)</f>
        <v>12935472.42</v>
      </c>
      <c r="E423" s="32">
        <f t="shared" ref="E423:AE423" si="173">SUM(E424:E428)</f>
        <v>231263.99</v>
      </c>
      <c r="F423" s="32">
        <f t="shared" si="173"/>
        <v>0</v>
      </c>
      <c r="G423" s="32">
        <f t="shared" si="173"/>
        <v>1680792.17</v>
      </c>
      <c r="H423" s="32">
        <f t="shared" si="173"/>
        <v>0</v>
      </c>
      <c r="I423" s="32">
        <f t="shared" si="173"/>
        <v>836672.28</v>
      </c>
      <c r="J423" s="32">
        <f t="shared" si="173"/>
        <v>0</v>
      </c>
      <c r="K423" s="34">
        <f t="shared" si="173"/>
        <v>0</v>
      </c>
      <c r="L423" s="32">
        <f t="shared" si="173"/>
        <v>0</v>
      </c>
      <c r="M423" s="32">
        <f t="shared" si="173"/>
        <v>2075.5</v>
      </c>
      <c r="N423" s="32">
        <f t="shared" si="173"/>
        <v>9552229.6000000015</v>
      </c>
      <c r="O423" s="32">
        <f t="shared" si="173"/>
        <v>0</v>
      </c>
      <c r="P423" s="32">
        <f t="shared" si="173"/>
        <v>0</v>
      </c>
      <c r="Q423" s="32">
        <f t="shared" si="173"/>
        <v>0</v>
      </c>
      <c r="R423" s="32">
        <f t="shared" si="173"/>
        <v>0</v>
      </c>
      <c r="S423" s="32">
        <f t="shared" si="173"/>
        <v>0</v>
      </c>
      <c r="T423" s="32">
        <f t="shared" si="173"/>
        <v>0</v>
      </c>
      <c r="U423" s="32">
        <f t="shared" si="173"/>
        <v>0</v>
      </c>
      <c r="V423" s="32">
        <f t="shared" si="173"/>
        <v>0</v>
      </c>
      <c r="W423" s="32">
        <f t="shared" si="173"/>
        <v>0</v>
      </c>
      <c r="X423" s="32">
        <f t="shared" si="173"/>
        <v>0</v>
      </c>
      <c r="Y423" s="32">
        <f t="shared" si="173"/>
        <v>0</v>
      </c>
      <c r="Z423" s="32">
        <f t="shared" si="173"/>
        <v>0</v>
      </c>
      <c r="AA423" s="32">
        <f t="shared" si="173"/>
        <v>0</v>
      </c>
      <c r="AB423" s="32">
        <f t="shared" si="173"/>
        <v>0</v>
      </c>
      <c r="AC423" s="32">
        <f t="shared" si="173"/>
        <v>184514.38</v>
      </c>
      <c r="AD423" s="32">
        <f t="shared" si="173"/>
        <v>450000</v>
      </c>
      <c r="AE423" s="32">
        <f t="shared" si="173"/>
        <v>0</v>
      </c>
      <c r="AF423" s="77" t="s">
        <v>801</v>
      </c>
      <c r="AG423" s="77" t="s">
        <v>801</v>
      </c>
      <c r="AH423" s="107" t="s">
        <v>801</v>
      </c>
      <c r="AT423" s="21" t="e">
        <f>VLOOKUP(C423,AW:AX,2,FALSE)</f>
        <v>#N/A</v>
      </c>
    </row>
    <row r="424" spans="1:46" ht="61.5" x14ac:dyDescent="0.85">
      <c r="A424" s="21">
        <v>1</v>
      </c>
      <c r="B424" s="70">
        <f>SUBTOTAL(103,$A$22:A424)</f>
        <v>365</v>
      </c>
      <c r="C424" s="25" t="s">
        <v>44</v>
      </c>
      <c r="D424" s="32">
        <f t="shared" ref="D424:D428" si="174">E424+F424+G424+H424+I424+J424+L424+N424+P424+R424+T424+U424+V424+W424+X424+Y424+Z424+AA424+AB424+AC424+AD424+AE424</f>
        <v>3133231.94</v>
      </c>
      <c r="E424" s="32">
        <v>0</v>
      </c>
      <c r="F424" s="32">
        <v>0</v>
      </c>
      <c r="G424" s="32">
        <v>0</v>
      </c>
      <c r="H424" s="32">
        <v>0</v>
      </c>
      <c r="I424" s="32">
        <v>0</v>
      </c>
      <c r="J424" s="32">
        <v>0</v>
      </c>
      <c r="K424" s="34">
        <v>0</v>
      </c>
      <c r="L424" s="32">
        <v>0</v>
      </c>
      <c r="M424" s="32">
        <v>604.1</v>
      </c>
      <c r="N424" s="32">
        <f>2635897.65+303240.08+7.04</f>
        <v>2939144.77</v>
      </c>
      <c r="O424" s="32">
        <v>0</v>
      </c>
      <c r="P424" s="32">
        <v>0</v>
      </c>
      <c r="Q424" s="32">
        <v>0</v>
      </c>
      <c r="R424" s="32">
        <v>0</v>
      </c>
      <c r="S424" s="32">
        <v>0</v>
      </c>
      <c r="T424" s="32">
        <v>0</v>
      </c>
      <c r="U424" s="32">
        <v>0</v>
      </c>
      <c r="V424" s="32">
        <v>0</v>
      </c>
      <c r="W424" s="32">
        <v>0</v>
      </c>
      <c r="X424" s="32">
        <v>0</v>
      </c>
      <c r="Y424" s="32">
        <v>0</v>
      </c>
      <c r="Z424" s="32">
        <v>0</v>
      </c>
      <c r="AA424" s="32">
        <v>0</v>
      </c>
      <c r="AB424" s="32">
        <v>0</v>
      </c>
      <c r="AC424" s="32">
        <f t="shared" ref="AC424:AC426" si="175">ROUND(N424*1.5%,2)</f>
        <v>44087.17</v>
      </c>
      <c r="AD424" s="32">
        <v>150000</v>
      </c>
      <c r="AE424" s="32">
        <v>0</v>
      </c>
      <c r="AF424" s="35">
        <v>2020</v>
      </c>
      <c r="AG424" s="35">
        <v>2020</v>
      </c>
      <c r="AH424" s="36">
        <v>2020</v>
      </c>
      <c r="AT424" s="21" t="e">
        <f>VLOOKUP(C424,AW:AX,2,FALSE)</f>
        <v>#N/A</v>
      </c>
    </row>
    <row r="425" spans="1:46" ht="61.5" x14ac:dyDescent="0.85">
      <c r="A425" s="21">
        <v>1</v>
      </c>
      <c r="B425" s="70">
        <f>SUBTOTAL(103,$A$22:A425)</f>
        <v>366</v>
      </c>
      <c r="C425" s="25" t="s">
        <v>43</v>
      </c>
      <c r="D425" s="32">
        <f t="shared" si="174"/>
        <v>2596411.7300000004</v>
      </c>
      <c r="E425" s="32">
        <v>0</v>
      </c>
      <c r="F425" s="32">
        <v>0</v>
      </c>
      <c r="G425" s="32">
        <v>0</v>
      </c>
      <c r="H425" s="32">
        <v>0</v>
      </c>
      <c r="I425" s="32">
        <v>0</v>
      </c>
      <c r="J425" s="32">
        <v>0</v>
      </c>
      <c r="K425" s="34">
        <v>0</v>
      </c>
      <c r="L425" s="32">
        <v>0</v>
      </c>
      <c r="M425" s="32">
        <v>500.6</v>
      </c>
      <c r="N425" s="32">
        <f>2158971.68+251286.18</f>
        <v>2410257.8600000003</v>
      </c>
      <c r="O425" s="32">
        <v>0</v>
      </c>
      <c r="P425" s="32">
        <v>0</v>
      </c>
      <c r="Q425" s="32">
        <v>0</v>
      </c>
      <c r="R425" s="32">
        <v>0</v>
      </c>
      <c r="S425" s="32">
        <v>0</v>
      </c>
      <c r="T425" s="32">
        <v>0</v>
      </c>
      <c r="U425" s="32">
        <v>0</v>
      </c>
      <c r="V425" s="32">
        <v>0</v>
      </c>
      <c r="W425" s="32">
        <v>0</v>
      </c>
      <c r="X425" s="32">
        <v>0</v>
      </c>
      <c r="Y425" s="32">
        <v>0</v>
      </c>
      <c r="Z425" s="32">
        <v>0</v>
      </c>
      <c r="AA425" s="32">
        <v>0</v>
      </c>
      <c r="AB425" s="32">
        <v>0</v>
      </c>
      <c r="AC425" s="32">
        <f t="shared" si="175"/>
        <v>36153.870000000003</v>
      </c>
      <c r="AD425" s="32">
        <v>150000</v>
      </c>
      <c r="AE425" s="32">
        <v>0</v>
      </c>
      <c r="AF425" s="35">
        <v>2020</v>
      </c>
      <c r="AG425" s="35">
        <v>2020</v>
      </c>
      <c r="AH425" s="36">
        <v>2020</v>
      </c>
      <c r="AT425" s="21" t="e">
        <f>VLOOKUP(C425,AW:AX,2,FALSE)</f>
        <v>#N/A</v>
      </c>
    </row>
    <row r="426" spans="1:46" ht="61.5" x14ac:dyDescent="0.85">
      <c r="A426" s="21">
        <v>1</v>
      </c>
      <c r="B426" s="70">
        <f>SUBTOTAL(103,$A$22:A426)</f>
        <v>367</v>
      </c>
      <c r="C426" s="25" t="s">
        <v>45</v>
      </c>
      <c r="D426" s="32">
        <f t="shared" si="174"/>
        <v>2680434.66</v>
      </c>
      <c r="E426" s="32">
        <v>0</v>
      </c>
      <c r="F426" s="32">
        <v>0</v>
      </c>
      <c r="G426" s="32">
        <v>0</v>
      </c>
      <c r="H426" s="32">
        <v>0</v>
      </c>
      <c r="I426" s="32">
        <v>0</v>
      </c>
      <c r="J426" s="32">
        <v>0</v>
      </c>
      <c r="K426" s="34">
        <v>0</v>
      </c>
      <c r="L426" s="32">
        <v>0</v>
      </c>
      <c r="M426" s="32">
        <v>516.79999999999995</v>
      </c>
      <c r="N426" s="32">
        <f>2233620.97+259418.1</f>
        <v>2493039.0700000003</v>
      </c>
      <c r="O426" s="32">
        <v>0</v>
      </c>
      <c r="P426" s="32">
        <v>0</v>
      </c>
      <c r="Q426" s="32">
        <v>0</v>
      </c>
      <c r="R426" s="32">
        <v>0</v>
      </c>
      <c r="S426" s="32">
        <v>0</v>
      </c>
      <c r="T426" s="32">
        <v>0</v>
      </c>
      <c r="U426" s="32">
        <v>0</v>
      </c>
      <c r="V426" s="32">
        <v>0</v>
      </c>
      <c r="W426" s="32">
        <v>0</v>
      </c>
      <c r="X426" s="32">
        <v>0</v>
      </c>
      <c r="Y426" s="32">
        <v>0</v>
      </c>
      <c r="Z426" s="32">
        <v>0</v>
      </c>
      <c r="AA426" s="32">
        <v>0</v>
      </c>
      <c r="AB426" s="32">
        <v>0</v>
      </c>
      <c r="AC426" s="32">
        <f t="shared" si="175"/>
        <v>37395.589999999997</v>
      </c>
      <c r="AD426" s="32">
        <v>150000</v>
      </c>
      <c r="AE426" s="32">
        <v>0</v>
      </c>
      <c r="AF426" s="35">
        <v>2020</v>
      </c>
      <c r="AG426" s="35">
        <v>2020</v>
      </c>
      <c r="AH426" s="36">
        <v>2020</v>
      </c>
      <c r="AT426" s="21" t="e">
        <f>VLOOKUP(C426,AW:AX,2,FALSE)</f>
        <v>#N/A</v>
      </c>
    </row>
    <row r="427" spans="1:46" ht="61.5" x14ac:dyDescent="0.85">
      <c r="A427" s="21">
        <v>1</v>
      </c>
      <c r="B427" s="70">
        <f>SUBTOTAL(103,$A$22:A427)</f>
        <v>368</v>
      </c>
      <c r="C427" s="25" t="s">
        <v>1341</v>
      </c>
      <c r="D427" s="32">
        <f t="shared" si="174"/>
        <v>2789959.37</v>
      </c>
      <c r="E427" s="32">
        <v>231263.99</v>
      </c>
      <c r="F427" s="32">
        <v>0</v>
      </c>
      <c r="G427" s="32">
        <v>1680792.17</v>
      </c>
      <c r="H427" s="32">
        <v>0</v>
      </c>
      <c r="I427" s="32">
        <v>836672.28</v>
      </c>
      <c r="J427" s="32">
        <v>0</v>
      </c>
      <c r="K427" s="34">
        <v>0</v>
      </c>
      <c r="L427" s="32">
        <v>0</v>
      </c>
      <c r="M427" s="32">
        <v>0</v>
      </c>
      <c r="N427" s="32">
        <v>0</v>
      </c>
      <c r="O427" s="32">
        <v>0</v>
      </c>
      <c r="P427" s="32">
        <v>0</v>
      </c>
      <c r="Q427" s="32">
        <v>0</v>
      </c>
      <c r="R427" s="32">
        <v>0</v>
      </c>
      <c r="S427" s="32">
        <v>0</v>
      </c>
      <c r="T427" s="32">
        <v>0</v>
      </c>
      <c r="U427" s="32">
        <v>0</v>
      </c>
      <c r="V427" s="32">
        <v>0</v>
      </c>
      <c r="W427" s="32">
        <v>0</v>
      </c>
      <c r="X427" s="32">
        <v>0</v>
      </c>
      <c r="Y427" s="32">
        <v>0</v>
      </c>
      <c r="Z427" s="32">
        <v>0</v>
      </c>
      <c r="AA427" s="32">
        <v>0</v>
      </c>
      <c r="AB427" s="32">
        <v>0</v>
      </c>
      <c r="AC427" s="32">
        <f t="shared" ref="AC427" si="176">ROUND((E427+F427+G427+H427+I427+J427)*1.5%,2)</f>
        <v>41230.93</v>
      </c>
      <c r="AD427" s="32">
        <v>0</v>
      </c>
      <c r="AE427" s="32">
        <v>0</v>
      </c>
      <c r="AF427" s="35" t="s">
        <v>275</v>
      </c>
      <c r="AG427" s="35">
        <v>2020</v>
      </c>
      <c r="AH427" s="36">
        <v>2020</v>
      </c>
    </row>
    <row r="428" spans="1:46" ht="61.5" x14ac:dyDescent="0.85">
      <c r="A428" s="21">
        <v>1</v>
      </c>
      <c r="B428" s="70">
        <f>SUBTOTAL(103,$A$22:A428)</f>
        <v>369</v>
      </c>
      <c r="C428" s="25" t="s">
        <v>1342</v>
      </c>
      <c r="D428" s="32">
        <f t="shared" si="174"/>
        <v>1735434.72</v>
      </c>
      <c r="E428" s="32">
        <v>0</v>
      </c>
      <c r="F428" s="32">
        <v>0</v>
      </c>
      <c r="G428" s="32">
        <v>0</v>
      </c>
      <c r="H428" s="32">
        <v>0</v>
      </c>
      <c r="I428" s="32">
        <v>0</v>
      </c>
      <c r="J428" s="32">
        <v>0</v>
      </c>
      <c r="K428" s="34">
        <v>0</v>
      </c>
      <c r="L428" s="32">
        <v>0</v>
      </c>
      <c r="M428" s="32">
        <v>454</v>
      </c>
      <c r="N428" s="32">
        <v>1709787.9</v>
      </c>
      <c r="O428" s="32">
        <v>0</v>
      </c>
      <c r="P428" s="32">
        <v>0</v>
      </c>
      <c r="Q428" s="32">
        <v>0</v>
      </c>
      <c r="R428" s="32">
        <v>0</v>
      </c>
      <c r="S428" s="32">
        <v>0</v>
      </c>
      <c r="T428" s="32">
        <v>0</v>
      </c>
      <c r="U428" s="32">
        <v>0</v>
      </c>
      <c r="V428" s="32">
        <v>0</v>
      </c>
      <c r="W428" s="32">
        <v>0</v>
      </c>
      <c r="X428" s="32">
        <v>0</v>
      </c>
      <c r="Y428" s="32">
        <v>0</v>
      </c>
      <c r="Z428" s="32">
        <v>0</v>
      </c>
      <c r="AA428" s="32">
        <v>0</v>
      </c>
      <c r="AB428" s="32">
        <v>0</v>
      </c>
      <c r="AC428" s="32">
        <f>ROUND(N428*1.5%,2)</f>
        <v>25646.82</v>
      </c>
      <c r="AD428" s="32">
        <v>0</v>
      </c>
      <c r="AE428" s="32">
        <v>0</v>
      </c>
      <c r="AF428" s="35" t="s">
        <v>275</v>
      </c>
      <c r="AG428" s="35">
        <v>2020</v>
      </c>
      <c r="AH428" s="36">
        <v>2020</v>
      </c>
    </row>
    <row r="429" spans="1:46" ht="61.5" x14ac:dyDescent="0.85">
      <c r="B429" s="25" t="s">
        <v>897</v>
      </c>
      <c r="C429" s="25"/>
      <c r="D429" s="32">
        <f>D430</f>
        <v>2374695.6799999997</v>
      </c>
      <c r="E429" s="32">
        <f t="shared" ref="E429:AE429" si="177">E430</f>
        <v>0</v>
      </c>
      <c r="F429" s="32">
        <f t="shared" si="177"/>
        <v>0</v>
      </c>
      <c r="G429" s="32">
        <f t="shared" si="177"/>
        <v>0</v>
      </c>
      <c r="H429" s="32">
        <f t="shared" si="177"/>
        <v>0</v>
      </c>
      <c r="I429" s="32">
        <f t="shared" si="177"/>
        <v>0</v>
      </c>
      <c r="J429" s="32">
        <f t="shared" si="177"/>
        <v>0</v>
      </c>
      <c r="K429" s="34">
        <f t="shared" si="177"/>
        <v>0</v>
      </c>
      <c r="L429" s="32">
        <f t="shared" si="177"/>
        <v>0</v>
      </c>
      <c r="M429" s="32">
        <f t="shared" si="177"/>
        <v>490</v>
      </c>
      <c r="N429" s="32">
        <f t="shared" si="177"/>
        <v>2221375.0499999998</v>
      </c>
      <c r="O429" s="32">
        <f t="shared" si="177"/>
        <v>0</v>
      </c>
      <c r="P429" s="32">
        <f t="shared" si="177"/>
        <v>0</v>
      </c>
      <c r="Q429" s="32">
        <f t="shared" si="177"/>
        <v>0</v>
      </c>
      <c r="R429" s="32">
        <f t="shared" si="177"/>
        <v>0</v>
      </c>
      <c r="S429" s="32">
        <f t="shared" si="177"/>
        <v>0</v>
      </c>
      <c r="T429" s="32">
        <f t="shared" si="177"/>
        <v>0</v>
      </c>
      <c r="U429" s="32">
        <f t="shared" si="177"/>
        <v>0</v>
      </c>
      <c r="V429" s="32">
        <f t="shared" si="177"/>
        <v>0</v>
      </c>
      <c r="W429" s="32">
        <f t="shared" si="177"/>
        <v>0</v>
      </c>
      <c r="X429" s="32">
        <f t="shared" si="177"/>
        <v>0</v>
      </c>
      <c r="Y429" s="32">
        <f t="shared" si="177"/>
        <v>0</v>
      </c>
      <c r="Z429" s="32">
        <f t="shared" si="177"/>
        <v>0</v>
      </c>
      <c r="AA429" s="32">
        <f t="shared" si="177"/>
        <v>0</v>
      </c>
      <c r="AB429" s="32">
        <f t="shared" si="177"/>
        <v>0</v>
      </c>
      <c r="AC429" s="32">
        <f t="shared" si="177"/>
        <v>33320.629999999997</v>
      </c>
      <c r="AD429" s="32">
        <f t="shared" si="177"/>
        <v>120000</v>
      </c>
      <c r="AE429" s="32">
        <f t="shared" si="177"/>
        <v>0</v>
      </c>
      <c r="AF429" s="77" t="s">
        <v>801</v>
      </c>
      <c r="AG429" s="77" t="s">
        <v>801</v>
      </c>
      <c r="AH429" s="107" t="s">
        <v>801</v>
      </c>
      <c r="AT429" s="21" t="e">
        <f t="shared" ref="AT429:AT435" si="178">VLOOKUP(C429,AW:AX,2,FALSE)</f>
        <v>#N/A</v>
      </c>
    </row>
    <row r="430" spans="1:46" ht="61.5" x14ac:dyDescent="0.85">
      <c r="A430" s="21">
        <v>1</v>
      </c>
      <c r="B430" s="70">
        <f>SUBTOTAL(103,$A$22:A430)</f>
        <v>370</v>
      </c>
      <c r="C430" s="25" t="s">
        <v>42</v>
      </c>
      <c r="D430" s="32">
        <f t="shared" ref="D430" si="179">E430+F430+G430+H430+I430+J430+L430+N430+P430+R430+T430+U430+V430+W430+X430+Y430+Z430+AA430+AB430+AC430+AD430+AE430</f>
        <v>2374695.6799999997</v>
      </c>
      <c r="E430" s="32">
        <v>0</v>
      </c>
      <c r="F430" s="32">
        <v>0</v>
      </c>
      <c r="G430" s="32">
        <v>0</v>
      </c>
      <c r="H430" s="32">
        <v>0</v>
      </c>
      <c r="I430" s="32">
        <v>0</v>
      </c>
      <c r="J430" s="32">
        <v>0</v>
      </c>
      <c r="K430" s="34">
        <v>0</v>
      </c>
      <c r="L430" s="32">
        <v>0</v>
      </c>
      <c r="M430" s="32">
        <v>490</v>
      </c>
      <c r="N430" s="32">
        <f>2158832.96+47737.83+14804.26</f>
        <v>2221375.0499999998</v>
      </c>
      <c r="O430" s="32">
        <v>0</v>
      </c>
      <c r="P430" s="32">
        <v>0</v>
      </c>
      <c r="Q430" s="32">
        <v>0</v>
      </c>
      <c r="R430" s="32">
        <v>0</v>
      </c>
      <c r="S430" s="32">
        <v>0</v>
      </c>
      <c r="T430" s="32">
        <v>0</v>
      </c>
      <c r="U430" s="32">
        <v>0</v>
      </c>
      <c r="V430" s="32">
        <v>0</v>
      </c>
      <c r="W430" s="32">
        <v>0</v>
      </c>
      <c r="X430" s="32">
        <v>0</v>
      </c>
      <c r="Y430" s="32">
        <v>0</v>
      </c>
      <c r="Z430" s="32">
        <v>0</v>
      </c>
      <c r="AA430" s="32">
        <v>0</v>
      </c>
      <c r="AB430" s="32">
        <v>0</v>
      </c>
      <c r="AC430" s="32">
        <f>ROUND(N430*1.5%,2)</f>
        <v>33320.629999999997</v>
      </c>
      <c r="AD430" s="32">
        <v>120000</v>
      </c>
      <c r="AE430" s="32">
        <v>0</v>
      </c>
      <c r="AF430" s="35">
        <v>2020</v>
      </c>
      <c r="AG430" s="35">
        <v>2020</v>
      </c>
      <c r="AH430" s="36">
        <v>2020</v>
      </c>
      <c r="AT430" s="21" t="e">
        <f t="shared" si="178"/>
        <v>#N/A</v>
      </c>
    </row>
    <row r="431" spans="1:46" ht="61.5" x14ac:dyDescent="0.85">
      <c r="B431" s="25" t="s">
        <v>898</v>
      </c>
      <c r="C431" s="25"/>
      <c r="D431" s="32">
        <f>SUM(D432:D440)</f>
        <v>30416442.670000002</v>
      </c>
      <c r="E431" s="32">
        <f t="shared" ref="E431:AE431" si="180">SUM(E432:E440)</f>
        <v>0</v>
      </c>
      <c r="F431" s="32">
        <f t="shared" si="180"/>
        <v>0</v>
      </c>
      <c r="G431" s="32">
        <f t="shared" si="180"/>
        <v>0</v>
      </c>
      <c r="H431" s="32">
        <f t="shared" si="180"/>
        <v>0</v>
      </c>
      <c r="I431" s="32">
        <f t="shared" si="180"/>
        <v>0</v>
      </c>
      <c r="J431" s="32">
        <f t="shared" si="180"/>
        <v>0</v>
      </c>
      <c r="K431" s="34">
        <f t="shared" si="180"/>
        <v>0</v>
      </c>
      <c r="L431" s="32">
        <f t="shared" si="180"/>
        <v>0</v>
      </c>
      <c r="M431" s="32">
        <f t="shared" si="180"/>
        <v>5657.7</v>
      </c>
      <c r="N431" s="32">
        <f t="shared" si="180"/>
        <v>24583906.390000001</v>
      </c>
      <c r="O431" s="32">
        <f t="shared" si="180"/>
        <v>0</v>
      </c>
      <c r="P431" s="32">
        <f t="shared" si="180"/>
        <v>0</v>
      </c>
      <c r="Q431" s="32">
        <f t="shared" si="180"/>
        <v>2886.45</v>
      </c>
      <c r="R431" s="32">
        <f t="shared" si="180"/>
        <v>4683524.82</v>
      </c>
      <c r="S431" s="32">
        <f t="shared" si="180"/>
        <v>0</v>
      </c>
      <c r="T431" s="32">
        <f t="shared" si="180"/>
        <v>0</v>
      </c>
      <c r="U431" s="32">
        <f t="shared" si="180"/>
        <v>0</v>
      </c>
      <c r="V431" s="32">
        <f t="shared" si="180"/>
        <v>0</v>
      </c>
      <c r="W431" s="32">
        <f t="shared" si="180"/>
        <v>0</v>
      </c>
      <c r="X431" s="32">
        <f t="shared" si="180"/>
        <v>0</v>
      </c>
      <c r="Y431" s="32">
        <f t="shared" si="180"/>
        <v>0</v>
      </c>
      <c r="Z431" s="32">
        <f t="shared" si="180"/>
        <v>0</v>
      </c>
      <c r="AA431" s="32">
        <f t="shared" si="180"/>
        <v>0</v>
      </c>
      <c r="AB431" s="32">
        <f t="shared" si="180"/>
        <v>0</v>
      </c>
      <c r="AC431" s="32">
        <f t="shared" si="180"/>
        <v>439011.45999999996</v>
      </c>
      <c r="AD431" s="32">
        <f t="shared" si="180"/>
        <v>710000</v>
      </c>
      <c r="AE431" s="32">
        <f t="shared" si="180"/>
        <v>0</v>
      </c>
      <c r="AF431" s="77" t="s">
        <v>801</v>
      </c>
      <c r="AG431" s="77" t="s">
        <v>801</v>
      </c>
      <c r="AH431" s="107" t="s">
        <v>801</v>
      </c>
      <c r="AT431" s="21" t="e">
        <f t="shared" si="178"/>
        <v>#N/A</v>
      </c>
    </row>
    <row r="432" spans="1:46" ht="61.5" x14ac:dyDescent="0.85">
      <c r="A432" s="21">
        <v>1</v>
      </c>
      <c r="B432" s="70">
        <f>SUBTOTAL(103,$A$22:A432)</f>
        <v>371</v>
      </c>
      <c r="C432" s="25" t="s">
        <v>51</v>
      </c>
      <c r="D432" s="32">
        <f t="shared" ref="D432:D440" si="181">E432+F432+G432+H432+I432+J432+L432+N432+P432+R432+T432+U432+V432+W432+X432+Y432+Z432+AA432+AB432+AC432+AD432+AE432</f>
        <v>4528867.1400000006</v>
      </c>
      <c r="E432" s="32">
        <v>0</v>
      </c>
      <c r="F432" s="32">
        <v>0</v>
      </c>
      <c r="G432" s="32">
        <v>0</v>
      </c>
      <c r="H432" s="32">
        <v>0</v>
      </c>
      <c r="I432" s="32">
        <v>0</v>
      </c>
      <c r="J432" s="32">
        <v>0</v>
      </c>
      <c r="K432" s="34">
        <v>0</v>
      </c>
      <c r="L432" s="32">
        <v>0</v>
      </c>
      <c r="M432" s="32">
        <v>867.3</v>
      </c>
      <c r="N432" s="32">
        <v>4314154.82</v>
      </c>
      <c r="O432" s="32">
        <v>0</v>
      </c>
      <c r="P432" s="32">
        <v>0</v>
      </c>
      <c r="Q432" s="32">
        <v>0</v>
      </c>
      <c r="R432" s="32">
        <v>0</v>
      </c>
      <c r="S432" s="32">
        <v>0</v>
      </c>
      <c r="T432" s="32">
        <v>0</v>
      </c>
      <c r="U432" s="32">
        <v>0</v>
      </c>
      <c r="V432" s="32">
        <v>0</v>
      </c>
      <c r="W432" s="32">
        <v>0</v>
      </c>
      <c r="X432" s="32">
        <v>0</v>
      </c>
      <c r="Y432" s="32">
        <v>0</v>
      </c>
      <c r="Z432" s="32">
        <v>0</v>
      </c>
      <c r="AA432" s="32">
        <v>0</v>
      </c>
      <c r="AB432" s="32">
        <v>0</v>
      </c>
      <c r="AC432" s="32">
        <f t="shared" ref="AC432:AC437" si="182">ROUND(N432*1.5%,2)</f>
        <v>64712.32</v>
      </c>
      <c r="AD432" s="32">
        <v>150000</v>
      </c>
      <c r="AE432" s="32">
        <v>0</v>
      </c>
      <c r="AF432" s="35">
        <v>2020</v>
      </c>
      <c r="AG432" s="35">
        <v>2020</v>
      </c>
      <c r="AH432" s="36">
        <v>2020</v>
      </c>
      <c r="AT432" s="21" t="e">
        <f t="shared" si="178"/>
        <v>#N/A</v>
      </c>
    </row>
    <row r="433" spans="1:46" ht="61.5" x14ac:dyDescent="0.85">
      <c r="A433" s="21">
        <v>1</v>
      </c>
      <c r="B433" s="70">
        <f>SUBTOTAL(103,$A$22:A433)</f>
        <v>372</v>
      </c>
      <c r="C433" s="25" t="s">
        <v>49</v>
      </c>
      <c r="D433" s="32">
        <f t="shared" si="181"/>
        <v>3408268.86</v>
      </c>
      <c r="E433" s="32">
        <v>0</v>
      </c>
      <c r="F433" s="32">
        <v>0</v>
      </c>
      <c r="G433" s="32">
        <v>0</v>
      </c>
      <c r="H433" s="32">
        <v>0</v>
      </c>
      <c r="I433" s="32">
        <v>0</v>
      </c>
      <c r="J433" s="32">
        <v>0</v>
      </c>
      <c r="K433" s="34">
        <v>0</v>
      </c>
      <c r="L433" s="32">
        <v>0</v>
      </c>
      <c r="M433" s="32">
        <v>652.70000000000005</v>
      </c>
      <c r="N433" s="32">
        <v>3210117.1</v>
      </c>
      <c r="O433" s="32">
        <v>0</v>
      </c>
      <c r="P433" s="32">
        <v>0</v>
      </c>
      <c r="Q433" s="32">
        <v>0</v>
      </c>
      <c r="R433" s="32">
        <v>0</v>
      </c>
      <c r="S433" s="32">
        <v>0</v>
      </c>
      <c r="T433" s="32">
        <v>0</v>
      </c>
      <c r="U433" s="32">
        <v>0</v>
      </c>
      <c r="V433" s="32">
        <v>0</v>
      </c>
      <c r="W433" s="32">
        <v>0</v>
      </c>
      <c r="X433" s="32">
        <v>0</v>
      </c>
      <c r="Y433" s="32">
        <v>0</v>
      </c>
      <c r="Z433" s="32">
        <v>0</v>
      </c>
      <c r="AA433" s="32">
        <v>0</v>
      </c>
      <c r="AB433" s="32">
        <v>0</v>
      </c>
      <c r="AC433" s="32">
        <f t="shared" si="182"/>
        <v>48151.76</v>
      </c>
      <c r="AD433" s="32">
        <v>150000</v>
      </c>
      <c r="AE433" s="32">
        <v>0</v>
      </c>
      <c r="AF433" s="35">
        <v>2020</v>
      </c>
      <c r="AG433" s="35">
        <v>2020</v>
      </c>
      <c r="AH433" s="36">
        <v>2020</v>
      </c>
      <c r="AT433" s="21" t="e">
        <f t="shared" si="178"/>
        <v>#N/A</v>
      </c>
    </row>
    <row r="434" spans="1:46" ht="61.5" x14ac:dyDescent="0.85">
      <c r="A434" s="21">
        <v>1</v>
      </c>
      <c r="B434" s="70">
        <f>SUBTOTAL(103,$A$22:A434)</f>
        <v>373</v>
      </c>
      <c r="C434" s="25" t="s">
        <v>50</v>
      </c>
      <c r="D434" s="32">
        <f t="shared" si="181"/>
        <v>4683432.42</v>
      </c>
      <c r="E434" s="32">
        <v>0</v>
      </c>
      <c r="F434" s="32">
        <v>0</v>
      </c>
      <c r="G434" s="32">
        <v>0</v>
      </c>
      <c r="H434" s="32">
        <v>0</v>
      </c>
      <c r="I434" s="32">
        <v>0</v>
      </c>
      <c r="J434" s="32">
        <v>0</v>
      </c>
      <c r="K434" s="34">
        <v>0</v>
      </c>
      <c r="L434" s="32">
        <v>0</v>
      </c>
      <c r="M434" s="32">
        <v>896.9</v>
      </c>
      <c r="N434" s="32">
        <v>4466435.88</v>
      </c>
      <c r="O434" s="32">
        <v>0</v>
      </c>
      <c r="P434" s="32">
        <v>0</v>
      </c>
      <c r="Q434" s="32">
        <v>0</v>
      </c>
      <c r="R434" s="32">
        <v>0</v>
      </c>
      <c r="S434" s="32">
        <v>0</v>
      </c>
      <c r="T434" s="32">
        <v>0</v>
      </c>
      <c r="U434" s="32">
        <v>0</v>
      </c>
      <c r="V434" s="32">
        <v>0</v>
      </c>
      <c r="W434" s="32">
        <v>0</v>
      </c>
      <c r="X434" s="32">
        <v>0</v>
      </c>
      <c r="Y434" s="32">
        <v>0</v>
      </c>
      <c r="Z434" s="32">
        <v>0</v>
      </c>
      <c r="AA434" s="32">
        <v>0</v>
      </c>
      <c r="AB434" s="32">
        <v>0</v>
      </c>
      <c r="AC434" s="32">
        <f t="shared" si="182"/>
        <v>66996.539999999994</v>
      </c>
      <c r="AD434" s="32">
        <v>150000</v>
      </c>
      <c r="AE434" s="32">
        <v>0</v>
      </c>
      <c r="AF434" s="35">
        <v>2020</v>
      </c>
      <c r="AG434" s="35">
        <v>2020</v>
      </c>
      <c r="AH434" s="36">
        <v>2020</v>
      </c>
      <c r="AT434" s="21">
        <f t="shared" si="178"/>
        <v>1</v>
      </c>
    </row>
    <row r="435" spans="1:46" ht="61.5" x14ac:dyDescent="0.85">
      <c r="A435" s="21">
        <v>1</v>
      </c>
      <c r="B435" s="70">
        <f>SUBTOTAL(103,$A$22:A435)</f>
        <v>374</v>
      </c>
      <c r="C435" s="25" t="s">
        <v>52</v>
      </c>
      <c r="D435" s="32">
        <f t="shared" si="181"/>
        <v>3556045.8</v>
      </c>
      <c r="E435" s="32">
        <v>0</v>
      </c>
      <c r="F435" s="32">
        <v>0</v>
      </c>
      <c r="G435" s="32">
        <v>0</v>
      </c>
      <c r="H435" s="32">
        <v>0</v>
      </c>
      <c r="I435" s="32">
        <v>0</v>
      </c>
      <c r="J435" s="32">
        <v>0</v>
      </c>
      <c r="K435" s="34">
        <v>0</v>
      </c>
      <c r="L435" s="32">
        <v>0</v>
      </c>
      <c r="M435" s="32">
        <v>681</v>
      </c>
      <c r="N435" s="32">
        <v>3355710.15</v>
      </c>
      <c r="O435" s="32">
        <v>0</v>
      </c>
      <c r="P435" s="32">
        <v>0</v>
      </c>
      <c r="Q435" s="32">
        <v>0</v>
      </c>
      <c r="R435" s="32">
        <v>0</v>
      </c>
      <c r="S435" s="32">
        <v>0</v>
      </c>
      <c r="T435" s="32">
        <v>0</v>
      </c>
      <c r="U435" s="32">
        <v>0</v>
      </c>
      <c r="V435" s="32">
        <v>0</v>
      </c>
      <c r="W435" s="32">
        <v>0</v>
      </c>
      <c r="X435" s="32">
        <v>0</v>
      </c>
      <c r="Y435" s="32">
        <v>0</v>
      </c>
      <c r="Z435" s="32">
        <v>0</v>
      </c>
      <c r="AA435" s="32">
        <v>0</v>
      </c>
      <c r="AB435" s="32">
        <v>0</v>
      </c>
      <c r="AC435" s="32">
        <f t="shared" si="182"/>
        <v>50335.65</v>
      </c>
      <c r="AD435" s="32">
        <v>150000</v>
      </c>
      <c r="AE435" s="32">
        <v>0</v>
      </c>
      <c r="AF435" s="35">
        <v>2020</v>
      </c>
      <c r="AG435" s="35">
        <v>2020</v>
      </c>
      <c r="AH435" s="36">
        <v>2020</v>
      </c>
      <c r="AT435" s="21" t="e">
        <f t="shared" si="178"/>
        <v>#N/A</v>
      </c>
    </row>
    <row r="436" spans="1:46" ht="61.5" x14ac:dyDescent="0.85">
      <c r="A436" s="21">
        <v>1</v>
      </c>
      <c r="B436" s="70">
        <f>SUBTOTAL(103,$A$22:A436)</f>
        <v>375</v>
      </c>
      <c r="C436" s="25" t="s">
        <v>1336</v>
      </c>
      <c r="D436" s="32">
        <f t="shared" si="181"/>
        <v>3146286.42</v>
      </c>
      <c r="E436" s="32">
        <v>0</v>
      </c>
      <c r="F436" s="32">
        <v>0</v>
      </c>
      <c r="G436" s="32">
        <v>0</v>
      </c>
      <c r="H436" s="32">
        <v>0</v>
      </c>
      <c r="I436" s="32">
        <v>0</v>
      </c>
      <c r="J436" s="32">
        <v>0</v>
      </c>
      <c r="K436" s="34">
        <v>0</v>
      </c>
      <c r="L436" s="32">
        <v>0</v>
      </c>
      <c r="M436" s="32">
        <v>678.5</v>
      </c>
      <c r="N436" s="32">
        <v>3099789.58</v>
      </c>
      <c r="O436" s="32">
        <v>0</v>
      </c>
      <c r="P436" s="32">
        <v>0</v>
      </c>
      <c r="Q436" s="32">
        <v>0</v>
      </c>
      <c r="R436" s="32">
        <v>0</v>
      </c>
      <c r="S436" s="32">
        <v>0</v>
      </c>
      <c r="T436" s="32">
        <v>0</v>
      </c>
      <c r="U436" s="32">
        <v>0</v>
      </c>
      <c r="V436" s="32">
        <v>0</v>
      </c>
      <c r="W436" s="32">
        <v>0</v>
      </c>
      <c r="X436" s="32">
        <v>0</v>
      </c>
      <c r="Y436" s="32">
        <v>0</v>
      </c>
      <c r="Z436" s="32">
        <v>0</v>
      </c>
      <c r="AA436" s="32">
        <v>0</v>
      </c>
      <c r="AB436" s="32">
        <v>0</v>
      </c>
      <c r="AC436" s="32">
        <f t="shared" si="182"/>
        <v>46496.84</v>
      </c>
      <c r="AD436" s="32">
        <v>0</v>
      </c>
      <c r="AE436" s="32">
        <v>0</v>
      </c>
      <c r="AF436" s="35" t="s">
        <v>275</v>
      </c>
      <c r="AG436" s="35">
        <v>2020</v>
      </c>
      <c r="AH436" s="36">
        <v>2020</v>
      </c>
    </row>
    <row r="437" spans="1:46" ht="61.5" x14ac:dyDescent="0.85">
      <c r="A437" s="21">
        <v>1</v>
      </c>
      <c r="B437" s="70">
        <f>SUBTOTAL(103,$A$22:A437)</f>
        <v>376</v>
      </c>
      <c r="C437" s="25" t="s">
        <v>1337</v>
      </c>
      <c r="D437" s="32">
        <f t="shared" si="181"/>
        <v>2725925.2399999998</v>
      </c>
      <c r="E437" s="32">
        <v>0</v>
      </c>
      <c r="F437" s="32">
        <v>0</v>
      </c>
      <c r="G437" s="32">
        <v>0</v>
      </c>
      <c r="H437" s="32">
        <v>0</v>
      </c>
      <c r="I437" s="32">
        <v>0</v>
      </c>
      <c r="J437" s="32">
        <v>0</v>
      </c>
      <c r="K437" s="34">
        <v>0</v>
      </c>
      <c r="L437" s="32">
        <v>0</v>
      </c>
      <c r="M437" s="32">
        <v>1277.3</v>
      </c>
      <c r="N437" s="32">
        <v>2685640.63</v>
      </c>
      <c r="O437" s="32">
        <v>0</v>
      </c>
      <c r="P437" s="32">
        <v>0</v>
      </c>
      <c r="Q437" s="32">
        <v>0</v>
      </c>
      <c r="R437" s="32">
        <v>0</v>
      </c>
      <c r="S437" s="32">
        <v>0</v>
      </c>
      <c r="T437" s="32">
        <v>0</v>
      </c>
      <c r="U437" s="32">
        <v>0</v>
      </c>
      <c r="V437" s="32">
        <v>0</v>
      </c>
      <c r="W437" s="32">
        <v>0</v>
      </c>
      <c r="X437" s="32">
        <v>0</v>
      </c>
      <c r="Y437" s="32">
        <v>0</v>
      </c>
      <c r="Z437" s="32">
        <v>0</v>
      </c>
      <c r="AA437" s="32">
        <v>0</v>
      </c>
      <c r="AB437" s="32">
        <v>0</v>
      </c>
      <c r="AC437" s="32">
        <f t="shared" si="182"/>
        <v>40284.61</v>
      </c>
      <c r="AD437" s="32">
        <v>0</v>
      </c>
      <c r="AE437" s="32">
        <v>0</v>
      </c>
      <c r="AF437" s="35" t="s">
        <v>275</v>
      </c>
      <c r="AG437" s="35">
        <v>2020</v>
      </c>
      <c r="AH437" s="36">
        <v>2020</v>
      </c>
    </row>
    <row r="438" spans="1:46" ht="61.5" x14ac:dyDescent="0.85">
      <c r="A438" s="21">
        <v>1</v>
      </c>
      <c r="B438" s="70">
        <f>SUBTOTAL(103,$A$22:A438)</f>
        <v>377</v>
      </c>
      <c r="C438" s="25" t="s">
        <v>1338</v>
      </c>
      <c r="D438" s="32">
        <f t="shared" si="181"/>
        <v>4753777.6900000004</v>
      </c>
      <c r="E438" s="32">
        <v>0</v>
      </c>
      <c r="F438" s="32">
        <v>0</v>
      </c>
      <c r="G438" s="32">
        <v>0</v>
      </c>
      <c r="H438" s="32">
        <v>0</v>
      </c>
      <c r="I438" s="32">
        <v>0</v>
      </c>
      <c r="J438" s="32">
        <v>0</v>
      </c>
      <c r="K438" s="34">
        <v>0</v>
      </c>
      <c r="L438" s="32">
        <v>0</v>
      </c>
      <c r="M438" s="32">
        <v>0</v>
      </c>
      <c r="N438" s="32">
        <v>0</v>
      </c>
      <c r="O438" s="32">
        <v>0</v>
      </c>
      <c r="P438" s="32">
        <v>0</v>
      </c>
      <c r="Q438" s="32">
        <v>2886.45</v>
      </c>
      <c r="R438" s="32">
        <v>4683524.82</v>
      </c>
      <c r="S438" s="32">
        <v>0</v>
      </c>
      <c r="T438" s="32">
        <v>0</v>
      </c>
      <c r="U438" s="32">
        <v>0</v>
      </c>
      <c r="V438" s="32">
        <v>0</v>
      </c>
      <c r="W438" s="32">
        <v>0</v>
      </c>
      <c r="X438" s="32">
        <v>0</v>
      </c>
      <c r="Y438" s="32">
        <v>0</v>
      </c>
      <c r="Z438" s="32">
        <v>0</v>
      </c>
      <c r="AA438" s="32">
        <v>0</v>
      </c>
      <c r="AB438" s="32">
        <v>0</v>
      </c>
      <c r="AC438" s="32">
        <f t="shared" ref="AC438" si="183">ROUND(R438*1.5%,2)</f>
        <v>70252.87</v>
      </c>
      <c r="AD438" s="32">
        <v>0</v>
      </c>
      <c r="AE438" s="32">
        <v>0</v>
      </c>
      <c r="AF438" s="35" t="s">
        <v>275</v>
      </c>
      <c r="AG438" s="35">
        <v>2020</v>
      </c>
      <c r="AH438" s="36">
        <v>2020</v>
      </c>
    </row>
    <row r="439" spans="1:46" ht="61.5" x14ac:dyDescent="0.85">
      <c r="A439" s="21">
        <v>1</v>
      </c>
      <c r="B439" s="70">
        <f>SUBTOTAL(103,$A$22:A439)</f>
        <v>378</v>
      </c>
      <c r="C439" s="25" t="s">
        <v>1339</v>
      </c>
      <c r="D439" s="32">
        <f t="shared" si="181"/>
        <v>1452832.41</v>
      </c>
      <c r="E439" s="32">
        <v>0</v>
      </c>
      <c r="F439" s="32">
        <v>0</v>
      </c>
      <c r="G439" s="32">
        <v>0</v>
      </c>
      <c r="H439" s="32">
        <v>0</v>
      </c>
      <c r="I439" s="32">
        <v>0</v>
      </c>
      <c r="J439" s="32">
        <v>0</v>
      </c>
      <c r="K439" s="34">
        <v>0</v>
      </c>
      <c r="L439" s="32">
        <v>0</v>
      </c>
      <c r="M439" s="32">
        <v>253</v>
      </c>
      <c r="N439" s="32">
        <f>931361.98+500000</f>
        <v>1431361.98</v>
      </c>
      <c r="O439" s="32">
        <v>0</v>
      </c>
      <c r="P439" s="32">
        <v>0</v>
      </c>
      <c r="Q439" s="32">
        <v>0</v>
      </c>
      <c r="R439" s="32">
        <v>0</v>
      </c>
      <c r="S439" s="32">
        <v>0</v>
      </c>
      <c r="T439" s="32">
        <v>0</v>
      </c>
      <c r="U439" s="32">
        <v>0</v>
      </c>
      <c r="V439" s="32">
        <v>0</v>
      </c>
      <c r="W439" s="32">
        <v>0</v>
      </c>
      <c r="X439" s="32">
        <v>0</v>
      </c>
      <c r="Y439" s="32">
        <v>0</v>
      </c>
      <c r="Z439" s="32">
        <v>0</v>
      </c>
      <c r="AA439" s="32">
        <v>0</v>
      </c>
      <c r="AB439" s="32">
        <v>0</v>
      </c>
      <c r="AC439" s="32">
        <f t="shared" ref="AC439:AC440" si="184">ROUND(N439*1.5%,2)</f>
        <v>21470.43</v>
      </c>
      <c r="AD439" s="32">
        <v>0</v>
      </c>
      <c r="AE439" s="32">
        <v>0</v>
      </c>
      <c r="AF439" s="35" t="s">
        <v>275</v>
      </c>
      <c r="AG439" s="35">
        <v>2020</v>
      </c>
      <c r="AH439" s="36">
        <v>2020</v>
      </c>
    </row>
    <row r="440" spans="1:46" ht="61.5" x14ac:dyDescent="0.85">
      <c r="A440" s="21">
        <v>1</v>
      </c>
      <c r="B440" s="70">
        <f>SUBTOTAL(103,$A$22:A440)</f>
        <v>379</v>
      </c>
      <c r="C440" s="25" t="s">
        <v>1340</v>
      </c>
      <c r="D440" s="32">
        <f t="shared" si="181"/>
        <v>2161006.69</v>
      </c>
      <c r="E440" s="32">
        <v>0</v>
      </c>
      <c r="F440" s="32">
        <v>0</v>
      </c>
      <c r="G440" s="32">
        <v>0</v>
      </c>
      <c r="H440" s="32">
        <v>0</v>
      </c>
      <c r="I440" s="32">
        <v>0</v>
      </c>
      <c r="J440" s="32">
        <v>0</v>
      </c>
      <c r="K440" s="34">
        <v>0</v>
      </c>
      <c r="L440" s="32">
        <v>0</v>
      </c>
      <c r="M440" s="32">
        <v>351</v>
      </c>
      <c r="N440" s="32">
        <f>1693214.86+350780.89-23299.5</f>
        <v>2020696.25</v>
      </c>
      <c r="O440" s="32">
        <v>0</v>
      </c>
      <c r="P440" s="32">
        <v>0</v>
      </c>
      <c r="Q440" s="32">
        <v>0</v>
      </c>
      <c r="R440" s="32">
        <v>0</v>
      </c>
      <c r="S440" s="32">
        <v>0</v>
      </c>
      <c r="T440" s="32">
        <v>0</v>
      </c>
      <c r="U440" s="32">
        <v>0</v>
      </c>
      <c r="V440" s="32">
        <v>0</v>
      </c>
      <c r="W440" s="32">
        <v>0</v>
      </c>
      <c r="X440" s="32">
        <v>0</v>
      </c>
      <c r="Y440" s="32">
        <v>0</v>
      </c>
      <c r="Z440" s="32">
        <v>0</v>
      </c>
      <c r="AA440" s="32">
        <v>0</v>
      </c>
      <c r="AB440" s="32">
        <v>0</v>
      </c>
      <c r="AC440" s="32">
        <f t="shared" si="184"/>
        <v>30310.44</v>
      </c>
      <c r="AD440" s="32">
        <v>110000</v>
      </c>
      <c r="AE440" s="32">
        <v>0</v>
      </c>
      <c r="AF440" s="35">
        <v>2020</v>
      </c>
      <c r="AG440" s="35">
        <v>2020</v>
      </c>
      <c r="AH440" s="36">
        <v>2020</v>
      </c>
    </row>
    <row r="441" spans="1:46" ht="61.5" x14ac:dyDescent="0.85">
      <c r="B441" s="25" t="s">
        <v>928</v>
      </c>
      <c r="C441" s="110"/>
      <c r="D441" s="32">
        <f>D442</f>
        <v>2521615.3599999999</v>
      </c>
      <c r="E441" s="32">
        <f t="shared" ref="E441:AE441" si="185">E442</f>
        <v>0</v>
      </c>
      <c r="F441" s="32">
        <f t="shared" si="185"/>
        <v>0</v>
      </c>
      <c r="G441" s="32">
        <f t="shared" si="185"/>
        <v>0</v>
      </c>
      <c r="H441" s="32">
        <f t="shared" si="185"/>
        <v>0</v>
      </c>
      <c r="I441" s="32">
        <f t="shared" si="185"/>
        <v>0</v>
      </c>
      <c r="J441" s="32">
        <f t="shared" si="185"/>
        <v>0</v>
      </c>
      <c r="K441" s="34">
        <f t="shared" si="185"/>
        <v>0</v>
      </c>
      <c r="L441" s="32">
        <f t="shared" si="185"/>
        <v>0</v>
      </c>
      <c r="M441" s="32">
        <f t="shared" si="185"/>
        <v>511.8</v>
      </c>
      <c r="N441" s="32">
        <f t="shared" si="185"/>
        <v>2366123.5099999998</v>
      </c>
      <c r="O441" s="32">
        <f t="shared" si="185"/>
        <v>0</v>
      </c>
      <c r="P441" s="32">
        <f t="shared" si="185"/>
        <v>0</v>
      </c>
      <c r="Q441" s="32">
        <f t="shared" si="185"/>
        <v>0</v>
      </c>
      <c r="R441" s="32">
        <f t="shared" si="185"/>
        <v>0</v>
      </c>
      <c r="S441" s="32">
        <f t="shared" si="185"/>
        <v>0</v>
      </c>
      <c r="T441" s="32">
        <f t="shared" si="185"/>
        <v>0</v>
      </c>
      <c r="U441" s="32">
        <f t="shared" si="185"/>
        <v>0</v>
      </c>
      <c r="V441" s="32">
        <f t="shared" si="185"/>
        <v>0</v>
      </c>
      <c r="W441" s="32">
        <f t="shared" si="185"/>
        <v>0</v>
      </c>
      <c r="X441" s="32">
        <f t="shared" si="185"/>
        <v>0</v>
      </c>
      <c r="Y441" s="32">
        <f t="shared" si="185"/>
        <v>0</v>
      </c>
      <c r="Z441" s="32">
        <f t="shared" si="185"/>
        <v>0</v>
      </c>
      <c r="AA441" s="32">
        <f t="shared" si="185"/>
        <v>0</v>
      </c>
      <c r="AB441" s="32">
        <f t="shared" si="185"/>
        <v>0</v>
      </c>
      <c r="AC441" s="32">
        <f t="shared" si="185"/>
        <v>35491.85</v>
      </c>
      <c r="AD441" s="32">
        <f t="shared" si="185"/>
        <v>0</v>
      </c>
      <c r="AE441" s="32">
        <f t="shared" si="185"/>
        <v>120000</v>
      </c>
      <c r="AF441" s="77" t="s">
        <v>801</v>
      </c>
      <c r="AG441" s="77" t="s">
        <v>801</v>
      </c>
      <c r="AH441" s="107" t="s">
        <v>801</v>
      </c>
    </row>
    <row r="442" spans="1:46" ht="61.5" x14ac:dyDescent="0.85">
      <c r="A442" s="21">
        <v>1</v>
      </c>
      <c r="B442" s="70">
        <f>SUBTOTAL(103,$A$22:A442)</f>
        <v>380</v>
      </c>
      <c r="C442" s="25" t="s">
        <v>1344</v>
      </c>
      <c r="D442" s="32">
        <f t="shared" ref="D442" si="186">E442+F442+G442+H442+I442+J442+L442+N442+P442+R442+T442+U442+V442+W442+X442+Y442+Z442+AA442+AB442+AC442+AD442+AE442</f>
        <v>2521615.3599999999</v>
      </c>
      <c r="E442" s="32">
        <v>0</v>
      </c>
      <c r="F442" s="32">
        <v>0</v>
      </c>
      <c r="G442" s="32">
        <v>0</v>
      </c>
      <c r="H442" s="32">
        <v>0</v>
      </c>
      <c r="I442" s="32">
        <v>0</v>
      </c>
      <c r="J442" s="32">
        <v>0</v>
      </c>
      <c r="K442" s="34">
        <v>0</v>
      </c>
      <c r="L442" s="32">
        <v>0</v>
      </c>
      <c r="M442" s="32">
        <v>511.8</v>
      </c>
      <c r="N442" s="32">
        <f>2095100.24+271023.27</f>
        <v>2366123.5099999998</v>
      </c>
      <c r="O442" s="32">
        <v>0</v>
      </c>
      <c r="P442" s="32">
        <v>0</v>
      </c>
      <c r="Q442" s="32">
        <v>0</v>
      </c>
      <c r="R442" s="32">
        <v>0</v>
      </c>
      <c r="S442" s="32">
        <v>0</v>
      </c>
      <c r="T442" s="32">
        <v>0</v>
      </c>
      <c r="U442" s="32">
        <v>0</v>
      </c>
      <c r="V442" s="32">
        <v>0</v>
      </c>
      <c r="W442" s="32">
        <v>0</v>
      </c>
      <c r="X442" s="32">
        <v>0</v>
      </c>
      <c r="Y442" s="32">
        <v>0</v>
      </c>
      <c r="Z442" s="32">
        <v>0</v>
      </c>
      <c r="AA442" s="32">
        <v>0</v>
      </c>
      <c r="AB442" s="32">
        <v>0</v>
      </c>
      <c r="AC442" s="32">
        <f>ROUND(N442*1.5%,2)</f>
        <v>35491.85</v>
      </c>
      <c r="AD442" s="32">
        <v>0</v>
      </c>
      <c r="AE442" s="32">
        <v>120000</v>
      </c>
      <c r="AF442" s="35" t="s">
        <v>275</v>
      </c>
      <c r="AG442" s="35">
        <v>2020</v>
      </c>
      <c r="AH442" s="36">
        <v>2020</v>
      </c>
    </row>
    <row r="443" spans="1:46" ht="61.5" x14ac:dyDescent="0.85">
      <c r="B443" s="25" t="s">
        <v>899</v>
      </c>
      <c r="C443" s="110"/>
      <c r="D443" s="32">
        <f>D444</f>
        <v>4438530</v>
      </c>
      <c r="E443" s="32">
        <f t="shared" ref="E443:AE443" si="187">E444</f>
        <v>0</v>
      </c>
      <c r="F443" s="32">
        <f t="shared" si="187"/>
        <v>0</v>
      </c>
      <c r="G443" s="32">
        <f t="shared" si="187"/>
        <v>0</v>
      </c>
      <c r="H443" s="32">
        <f t="shared" si="187"/>
        <v>0</v>
      </c>
      <c r="I443" s="32">
        <f t="shared" si="187"/>
        <v>0</v>
      </c>
      <c r="J443" s="32">
        <f t="shared" si="187"/>
        <v>0</v>
      </c>
      <c r="K443" s="34">
        <f t="shared" si="187"/>
        <v>0</v>
      </c>
      <c r="L443" s="32">
        <f t="shared" si="187"/>
        <v>0</v>
      </c>
      <c r="M443" s="32">
        <f t="shared" si="187"/>
        <v>854</v>
      </c>
      <c r="N443" s="32">
        <f t="shared" si="187"/>
        <v>4225152.71</v>
      </c>
      <c r="O443" s="32">
        <f t="shared" si="187"/>
        <v>0</v>
      </c>
      <c r="P443" s="32">
        <f t="shared" si="187"/>
        <v>0</v>
      </c>
      <c r="Q443" s="32">
        <f t="shared" si="187"/>
        <v>0</v>
      </c>
      <c r="R443" s="32">
        <f t="shared" si="187"/>
        <v>0</v>
      </c>
      <c r="S443" s="32">
        <f t="shared" si="187"/>
        <v>0</v>
      </c>
      <c r="T443" s="32">
        <f t="shared" si="187"/>
        <v>0</v>
      </c>
      <c r="U443" s="32">
        <f t="shared" si="187"/>
        <v>0</v>
      </c>
      <c r="V443" s="32">
        <f t="shared" si="187"/>
        <v>0</v>
      </c>
      <c r="W443" s="32">
        <f t="shared" si="187"/>
        <v>0</v>
      </c>
      <c r="X443" s="32">
        <f t="shared" si="187"/>
        <v>0</v>
      </c>
      <c r="Y443" s="32">
        <f t="shared" si="187"/>
        <v>0</v>
      </c>
      <c r="Z443" s="32">
        <f t="shared" si="187"/>
        <v>0</v>
      </c>
      <c r="AA443" s="32">
        <f t="shared" si="187"/>
        <v>0</v>
      </c>
      <c r="AB443" s="32">
        <f t="shared" si="187"/>
        <v>0</v>
      </c>
      <c r="AC443" s="32">
        <f t="shared" si="187"/>
        <v>63377.29</v>
      </c>
      <c r="AD443" s="32">
        <f t="shared" si="187"/>
        <v>150000</v>
      </c>
      <c r="AE443" s="32">
        <f t="shared" si="187"/>
        <v>0</v>
      </c>
      <c r="AF443" s="77" t="s">
        <v>801</v>
      </c>
      <c r="AG443" s="77" t="s">
        <v>801</v>
      </c>
      <c r="AH443" s="107" t="s">
        <v>801</v>
      </c>
      <c r="AT443" s="21" t="e">
        <f>VLOOKUP(C443,AW:AX,2,FALSE)</f>
        <v>#N/A</v>
      </c>
    </row>
    <row r="444" spans="1:46" ht="61.5" x14ac:dyDescent="0.85">
      <c r="A444" s="21">
        <v>1</v>
      </c>
      <c r="B444" s="70">
        <f>SUBTOTAL(103,$A$22:A444)</f>
        <v>381</v>
      </c>
      <c r="C444" s="25" t="s">
        <v>233</v>
      </c>
      <c r="D444" s="32">
        <f t="shared" ref="D444" si="188">E444+F444+G444+H444+I444+J444+L444+N444+P444+R444+T444+U444+V444+W444+X444+Y444+Z444+AA444+AB444+AC444+AD444+AE444</f>
        <v>4438530</v>
      </c>
      <c r="E444" s="32">
        <v>0</v>
      </c>
      <c r="F444" s="32">
        <v>0</v>
      </c>
      <c r="G444" s="32">
        <v>0</v>
      </c>
      <c r="H444" s="32">
        <v>0</v>
      </c>
      <c r="I444" s="32">
        <v>0</v>
      </c>
      <c r="J444" s="32">
        <v>0</v>
      </c>
      <c r="K444" s="34">
        <v>0</v>
      </c>
      <c r="L444" s="32">
        <v>0</v>
      </c>
      <c r="M444" s="32">
        <v>854</v>
      </c>
      <c r="N444" s="32">
        <v>4225152.71</v>
      </c>
      <c r="O444" s="32">
        <v>0</v>
      </c>
      <c r="P444" s="32">
        <v>0</v>
      </c>
      <c r="Q444" s="32">
        <v>0</v>
      </c>
      <c r="R444" s="32">
        <v>0</v>
      </c>
      <c r="S444" s="32">
        <v>0</v>
      </c>
      <c r="T444" s="32">
        <v>0</v>
      </c>
      <c r="U444" s="32">
        <v>0</v>
      </c>
      <c r="V444" s="32">
        <v>0</v>
      </c>
      <c r="W444" s="32">
        <v>0</v>
      </c>
      <c r="X444" s="32">
        <v>0</v>
      </c>
      <c r="Y444" s="32">
        <v>0</v>
      </c>
      <c r="Z444" s="32">
        <v>0</v>
      </c>
      <c r="AA444" s="32">
        <v>0</v>
      </c>
      <c r="AB444" s="32">
        <v>0</v>
      </c>
      <c r="AC444" s="32">
        <f>ROUND(N444*1.5%,2)</f>
        <v>63377.29</v>
      </c>
      <c r="AD444" s="32">
        <v>150000</v>
      </c>
      <c r="AE444" s="32">
        <v>0</v>
      </c>
      <c r="AF444" s="35">
        <v>2020</v>
      </c>
      <c r="AG444" s="35">
        <v>2020</v>
      </c>
      <c r="AH444" s="36">
        <v>2020</v>
      </c>
      <c r="AT444" s="21" t="e">
        <f>VLOOKUP(C444,AW:AX,2,FALSE)</f>
        <v>#N/A</v>
      </c>
    </row>
    <row r="445" spans="1:46" ht="61.5" x14ac:dyDescent="0.85">
      <c r="B445" s="25" t="s">
        <v>900</v>
      </c>
      <c r="C445" s="25"/>
      <c r="D445" s="32">
        <f t="shared" ref="D445:AE445" si="189">D446</f>
        <v>1540431</v>
      </c>
      <c r="E445" s="32">
        <f t="shared" si="189"/>
        <v>0</v>
      </c>
      <c r="F445" s="32">
        <f t="shared" si="189"/>
        <v>0</v>
      </c>
      <c r="G445" s="32">
        <f t="shared" si="189"/>
        <v>0</v>
      </c>
      <c r="H445" s="32">
        <f t="shared" si="189"/>
        <v>0</v>
      </c>
      <c r="I445" s="32">
        <f t="shared" si="189"/>
        <v>0</v>
      </c>
      <c r="J445" s="32">
        <f t="shared" si="189"/>
        <v>0</v>
      </c>
      <c r="K445" s="34">
        <f t="shared" si="189"/>
        <v>0</v>
      </c>
      <c r="L445" s="32">
        <f t="shared" si="189"/>
        <v>0</v>
      </c>
      <c r="M445" s="32">
        <f t="shared" si="189"/>
        <v>295</v>
      </c>
      <c r="N445" s="32">
        <f t="shared" si="189"/>
        <v>1399439.41</v>
      </c>
      <c r="O445" s="32">
        <f t="shared" si="189"/>
        <v>0</v>
      </c>
      <c r="P445" s="32">
        <f t="shared" si="189"/>
        <v>0</v>
      </c>
      <c r="Q445" s="32">
        <f t="shared" si="189"/>
        <v>0</v>
      </c>
      <c r="R445" s="32">
        <f t="shared" si="189"/>
        <v>0</v>
      </c>
      <c r="S445" s="32">
        <f t="shared" si="189"/>
        <v>0</v>
      </c>
      <c r="T445" s="32">
        <f t="shared" si="189"/>
        <v>0</v>
      </c>
      <c r="U445" s="32">
        <f t="shared" si="189"/>
        <v>0</v>
      </c>
      <c r="V445" s="32">
        <f t="shared" si="189"/>
        <v>0</v>
      </c>
      <c r="W445" s="32">
        <f t="shared" si="189"/>
        <v>0</v>
      </c>
      <c r="X445" s="32">
        <f t="shared" si="189"/>
        <v>0</v>
      </c>
      <c r="Y445" s="32">
        <f t="shared" si="189"/>
        <v>0</v>
      </c>
      <c r="Z445" s="32">
        <f t="shared" si="189"/>
        <v>0</v>
      </c>
      <c r="AA445" s="32">
        <f t="shared" si="189"/>
        <v>0</v>
      </c>
      <c r="AB445" s="32">
        <f t="shared" si="189"/>
        <v>0</v>
      </c>
      <c r="AC445" s="32">
        <f t="shared" si="189"/>
        <v>20991.59</v>
      </c>
      <c r="AD445" s="32">
        <f t="shared" si="189"/>
        <v>120000</v>
      </c>
      <c r="AE445" s="32">
        <f t="shared" si="189"/>
        <v>0</v>
      </c>
      <c r="AF445" s="77" t="s">
        <v>801</v>
      </c>
      <c r="AG445" s="77" t="s">
        <v>801</v>
      </c>
      <c r="AH445" s="107" t="s">
        <v>801</v>
      </c>
      <c r="AT445" s="21" t="e">
        <f>VLOOKUP(C445,AW:AX,2,FALSE)</f>
        <v>#N/A</v>
      </c>
    </row>
    <row r="446" spans="1:46" ht="61.5" x14ac:dyDescent="0.85">
      <c r="A446" s="21">
        <v>1</v>
      </c>
      <c r="B446" s="70">
        <f>SUBTOTAL(103,$A$22:A446)</f>
        <v>382</v>
      </c>
      <c r="C446" s="25" t="s">
        <v>236</v>
      </c>
      <c r="D446" s="32">
        <f t="shared" ref="D446:D448" si="190">E446+F446+G446+H446+I446+J446+L446+N446+P446+R446+T446+U446+V446+W446+X446+Y446+Z446+AA446+AB446+AC446+AD446+AE446</f>
        <v>1540431</v>
      </c>
      <c r="E446" s="32">
        <v>0</v>
      </c>
      <c r="F446" s="32">
        <v>0</v>
      </c>
      <c r="G446" s="32">
        <v>0</v>
      </c>
      <c r="H446" s="32">
        <v>0</v>
      </c>
      <c r="I446" s="32">
        <v>0</v>
      </c>
      <c r="J446" s="32">
        <v>0</v>
      </c>
      <c r="K446" s="34">
        <v>0</v>
      </c>
      <c r="L446" s="32">
        <v>0</v>
      </c>
      <c r="M446" s="32">
        <v>295</v>
      </c>
      <c r="N446" s="32">
        <v>1399439.41</v>
      </c>
      <c r="O446" s="32">
        <v>0</v>
      </c>
      <c r="P446" s="32">
        <v>0</v>
      </c>
      <c r="Q446" s="32">
        <v>0</v>
      </c>
      <c r="R446" s="32">
        <v>0</v>
      </c>
      <c r="S446" s="32">
        <v>0</v>
      </c>
      <c r="T446" s="32">
        <v>0</v>
      </c>
      <c r="U446" s="32">
        <v>0</v>
      </c>
      <c r="V446" s="32">
        <v>0</v>
      </c>
      <c r="W446" s="32">
        <v>0</v>
      </c>
      <c r="X446" s="32">
        <v>0</v>
      </c>
      <c r="Y446" s="32">
        <v>0</v>
      </c>
      <c r="Z446" s="32">
        <v>0</v>
      </c>
      <c r="AA446" s="32">
        <v>0</v>
      </c>
      <c r="AB446" s="32">
        <v>0</v>
      </c>
      <c r="AC446" s="32">
        <f>ROUND(N446*1.5%,2)</f>
        <v>20991.59</v>
      </c>
      <c r="AD446" s="32">
        <v>120000</v>
      </c>
      <c r="AE446" s="32">
        <v>0</v>
      </c>
      <c r="AF446" s="35">
        <v>2020</v>
      </c>
      <c r="AG446" s="35">
        <v>2020</v>
      </c>
      <c r="AH446" s="36">
        <v>2020</v>
      </c>
      <c r="AT446" s="21" t="e">
        <f>VLOOKUP(C446,AW:AX,2,FALSE)</f>
        <v>#N/A</v>
      </c>
    </row>
    <row r="447" spans="1:46" ht="61.5" x14ac:dyDescent="0.85">
      <c r="B447" s="25" t="s">
        <v>1386</v>
      </c>
      <c r="C447" s="25"/>
      <c r="D447" s="32">
        <f>D448</f>
        <v>4609049.76</v>
      </c>
      <c r="E447" s="32">
        <f t="shared" ref="E447:AE447" si="191">E448</f>
        <v>0</v>
      </c>
      <c r="F447" s="32">
        <f t="shared" si="191"/>
        <v>0</v>
      </c>
      <c r="G447" s="32">
        <f t="shared" si="191"/>
        <v>0</v>
      </c>
      <c r="H447" s="32">
        <f t="shared" si="191"/>
        <v>0</v>
      </c>
      <c r="I447" s="32">
        <f t="shared" si="191"/>
        <v>0</v>
      </c>
      <c r="J447" s="32">
        <f t="shared" si="191"/>
        <v>0</v>
      </c>
      <c r="K447" s="34">
        <f t="shared" si="191"/>
        <v>0</v>
      </c>
      <c r="L447" s="32">
        <f t="shared" si="191"/>
        <v>0</v>
      </c>
      <c r="M447" s="32">
        <f t="shared" si="191"/>
        <v>890</v>
      </c>
      <c r="N447" s="32">
        <f t="shared" si="191"/>
        <v>4393152.47</v>
      </c>
      <c r="O447" s="32">
        <f t="shared" si="191"/>
        <v>0</v>
      </c>
      <c r="P447" s="32">
        <f t="shared" si="191"/>
        <v>0</v>
      </c>
      <c r="Q447" s="32">
        <f t="shared" si="191"/>
        <v>0</v>
      </c>
      <c r="R447" s="32">
        <f t="shared" si="191"/>
        <v>0</v>
      </c>
      <c r="S447" s="32">
        <f t="shared" si="191"/>
        <v>0</v>
      </c>
      <c r="T447" s="32">
        <f t="shared" si="191"/>
        <v>0</v>
      </c>
      <c r="U447" s="32">
        <f t="shared" si="191"/>
        <v>0</v>
      </c>
      <c r="V447" s="32">
        <f t="shared" si="191"/>
        <v>0</v>
      </c>
      <c r="W447" s="32">
        <f t="shared" si="191"/>
        <v>0</v>
      </c>
      <c r="X447" s="32">
        <f t="shared" si="191"/>
        <v>0</v>
      </c>
      <c r="Y447" s="32">
        <f t="shared" si="191"/>
        <v>0</v>
      </c>
      <c r="Z447" s="32">
        <f t="shared" si="191"/>
        <v>0</v>
      </c>
      <c r="AA447" s="32">
        <f t="shared" si="191"/>
        <v>0</v>
      </c>
      <c r="AB447" s="32">
        <f t="shared" si="191"/>
        <v>0</v>
      </c>
      <c r="AC447" s="32">
        <f t="shared" si="191"/>
        <v>65897.289999999994</v>
      </c>
      <c r="AD447" s="32">
        <f t="shared" si="191"/>
        <v>150000</v>
      </c>
      <c r="AE447" s="32">
        <f t="shared" si="191"/>
        <v>0</v>
      </c>
      <c r="AF447" s="77" t="s">
        <v>801</v>
      </c>
      <c r="AG447" s="77" t="s">
        <v>801</v>
      </c>
      <c r="AH447" s="107" t="s">
        <v>801</v>
      </c>
    </row>
    <row r="448" spans="1:46" ht="61.5" x14ac:dyDescent="0.85">
      <c r="A448" s="21">
        <v>1</v>
      </c>
      <c r="B448" s="70">
        <f>SUBTOTAL(103,$A$22:A448)</f>
        <v>383</v>
      </c>
      <c r="C448" s="25" t="s">
        <v>1387</v>
      </c>
      <c r="D448" s="32">
        <f t="shared" si="190"/>
        <v>4609049.76</v>
      </c>
      <c r="E448" s="32">
        <v>0</v>
      </c>
      <c r="F448" s="32">
        <v>0</v>
      </c>
      <c r="G448" s="32">
        <v>0</v>
      </c>
      <c r="H448" s="32">
        <v>0</v>
      </c>
      <c r="I448" s="32">
        <v>0</v>
      </c>
      <c r="J448" s="32">
        <v>0</v>
      </c>
      <c r="K448" s="34">
        <v>0</v>
      </c>
      <c r="L448" s="32">
        <v>0</v>
      </c>
      <c r="M448" s="32">
        <v>890</v>
      </c>
      <c r="N448" s="32">
        <f>4393152.47</f>
        <v>4393152.47</v>
      </c>
      <c r="O448" s="32">
        <v>0</v>
      </c>
      <c r="P448" s="32">
        <v>0</v>
      </c>
      <c r="Q448" s="32">
        <v>0</v>
      </c>
      <c r="R448" s="32">
        <v>0</v>
      </c>
      <c r="S448" s="32">
        <v>0</v>
      </c>
      <c r="T448" s="32">
        <v>0</v>
      </c>
      <c r="U448" s="32">
        <v>0</v>
      </c>
      <c r="V448" s="32">
        <v>0</v>
      </c>
      <c r="W448" s="32">
        <v>0</v>
      </c>
      <c r="X448" s="32">
        <v>0</v>
      </c>
      <c r="Y448" s="32">
        <v>0</v>
      </c>
      <c r="Z448" s="32">
        <v>0</v>
      </c>
      <c r="AA448" s="32">
        <v>0</v>
      </c>
      <c r="AB448" s="32">
        <v>0</v>
      </c>
      <c r="AC448" s="32">
        <f>ROUND(N448*1.5%,2)</f>
        <v>65897.289999999994</v>
      </c>
      <c r="AD448" s="32">
        <v>150000</v>
      </c>
      <c r="AE448" s="32">
        <v>0</v>
      </c>
      <c r="AF448" s="35">
        <v>2020</v>
      </c>
      <c r="AG448" s="35">
        <v>2020</v>
      </c>
      <c r="AH448" s="36">
        <v>2020</v>
      </c>
    </row>
    <row r="449" spans="1:46" ht="61.5" x14ac:dyDescent="0.85">
      <c r="B449" s="25" t="s">
        <v>901</v>
      </c>
      <c r="C449" s="110"/>
      <c r="D449" s="32">
        <f t="shared" ref="D449:AE449" si="192">D450</f>
        <v>5368567.4000000004</v>
      </c>
      <c r="E449" s="32">
        <f t="shared" si="192"/>
        <v>0</v>
      </c>
      <c r="F449" s="32">
        <f t="shared" si="192"/>
        <v>0</v>
      </c>
      <c r="G449" s="32">
        <f t="shared" si="192"/>
        <v>0</v>
      </c>
      <c r="H449" s="32">
        <f t="shared" si="192"/>
        <v>0</v>
      </c>
      <c r="I449" s="32">
        <f t="shared" si="192"/>
        <v>0</v>
      </c>
      <c r="J449" s="32">
        <f t="shared" si="192"/>
        <v>0</v>
      </c>
      <c r="K449" s="34">
        <f t="shared" si="192"/>
        <v>0</v>
      </c>
      <c r="L449" s="32">
        <f t="shared" si="192"/>
        <v>0</v>
      </c>
      <c r="M449" s="32">
        <f t="shared" si="192"/>
        <v>980</v>
      </c>
      <c r="N449" s="32">
        <f t="shared" si="192"/>
        <v>5141445.71</v>
      </c>
      <c r="O449" s="32">
        <f t="shared" si="192"/>
        <v>0</v>
      </c>
      <c r="P449" s="32">
        <f t="shared" si="192"/>
        <v>0</v>
      </c>
      <c r="Q449" s="32">
        <f t="shared" si="192"/>
        <v>0</v>
      </c>
      <c r="R449" s="32">
        <f t="shared" si="192"/>
        <v>0</v>
      </c>
      <c r="S449" s="32">
        <f t="shared" si="192"/>
        <v>0</v>
      </c>
      <c r="T449" s="32">
        <f t="shared" si="192"/>
        <v>0</v>
      </c>
      <c r="U449" s="32">
        <f t="shared" si="192"/>
        <v>0</v>
      </c>
      <c r="V449" s="32">
        <f t="shared" si="192"/>
        <v>0</v>
      </c>
      <c r="W449" s="32">
        <f t="shared" si="192"/>
        <v>0</v>
      </c>
      <c r="X449" s="32">
        <f t="shared" si="192"/>
        <v>0</v>
      </c>
      <c r="Y449" s="32">
        <f t="shared" si="192"/>
        <v>0</v>
      </c>
      <c r="Z449" s="32">
        <f t="shared" si="192"/>
        <v>0</v>
      </c>
      <c r="AA449" s="32">
        <f t="shared" si="192"/>
        <v>0</v>
      </c>
      <c r="AB449" s="32">
        <f t="shared" si="192"/>
        <v>0</v>
      </c>
      <c r="AC449" s="32">
        <f t="shared" si="192"/>
        <v>77121.69</v>
      </c>
      <c r="AD449" s="32">
        <f t="shared" si="192"/>
        <v>150000</v>
      </c>
      <c r="AE449" s="32">
        <f t="shared" si="192"/>
        <v>0</v>
      </c>
      <c r="AF449" s="77" t="s">
        <v>801</v>
      </c>
      <c r="AG449" s="77" t="s">
        <v>801</v>
      </c>
      <c r="AH449" s="107" t="s">
        <v>801</v>
      </c>
      <c r="AT449" s="21" t="e">
        <f t="shared" ref="AT449:AT455" si="193">VLOOKUP(C449,AW:AX,2,FALSE)</f>
        <v>#N/A</v>
      </c>
    </row>
    <row r="450" spans="1:46" ht="61.5" x14ac:dyDescent="0.85">
      <c r="A450" s="21">
        <v>1</v>
      </c>
      <c r="B450" s="70">
        <f>SUBTOTAL(103,$A$22:A450)</f>
        <v>384</v>
      </c>
      <c r="C450" s="25" t="s">
        <v>142</v>
      </c>
      <c r="D450" s="32">
        <f t="shared" ref="D450" si="194">E450+F450+G450+H450+I450+J450+L450+N450+P450+R450+T450+U450+V450+W450+X450+Y450+Z450+AA450+AB450+AC450+AD450+AE450</f>
        <v>5368567.4000000004</v>
      </c>
      <c r="E450" s="32">
        <v>0</v>
      </c>
      <c r="F450" s="32">
        <v>0</v>
      </c>
      <c r="G450" s="32">
        <v>0</v>
      </c>
      <c r="H450" s="32">
        <v>0</v>
      </c>
      <c r="I450" s="32">
        <v>0</v>
      </c>
      <c r="J450" s="32">
        <v>0</v>
      </c>
      <c r="K450" s="34">
        <v>0</v>
      </c>
      <c r="L450" s="32">
        <v>0</v>
      </c>
      <c r="M450" s="32">
        <v>980</v>
      </c>
      <c r="N450" s="32">
        <v>5141445.71</v>
      </c>
      <c r="O450" s="32">
        <v>0</v>
      </c>
      <c r="P450" s="32">
        <v>0</v>
      </c>
      <c r="Q450" s="32">
        <v>0</v>
      </c>
      <c r="R450" s="32">
        <v>0</v>
      </c>
      <c r="S450" s="32">
        <v>0</v>
      </c>
      <c r="T450" s="32">
        <v>0</v>
      </c>
      <c r="U450" s="32">
        <v>0</v>
      </c>
      <c r="V450" s="32">
        <v>0</v>
      </c>
      <c r="W450" s="32">
        <v>0</v>
      </c>
      <c r="X450" s="32">
        <v>0</v>
      </c>
      <c r="Y450" s="32">
        <v>0</v>
      </c>
      <c r="Z450" s="32">
        <v>0</v>
      </c>
      <c r="AA450" s="32">
        <v>0</v>
      </c>
      <c r="AB450" s="32">
        <v>0</v>
      </c>
      <c r="AC450" s="32">
        <f>ROUND(N450*1.5%,2)</f>
        <v>77121.69</v>
      </c>
      <c r="AD450" s="32">
        <f>155511.19-5511.19</f>
        <v>150000</v>
      </c>
      <c r="AE450" s="32">
        <v>0</v>
      </c>
      <c r="AF450" s="35">
        <v>2020</v>
      </c>
      <c r="AG450" s="35">
        <v>2020</v>
      </c>
      <c r="AH450" s="36">
        <v>2020</v>
      </c>
      <c r="AT450" s="21" t="e">
        <f t="shared" si="193"/>
        <v>#N/A</v>
      </c>
    </row>
    <row r="451" spans="1:46" ht="61.5" x14ac:dyDescent="0.85">
      <c r="B451" s="25" t="s">
        <v>902</v>
      </c>
      <c r="C451" s="25"/>
      <c r="D451" s="32">
        <f t="shared" ref="D451:AE451" si="195">D452</f>
        <v>2682382.0500000003</v>
      </c>
      <c r="E451" s="32">
        <f t="shared" si="195"/>
        <v>0</v>
      </c>
      <c r="F451" s="32">
        <f t="shared" si="195"/>
        <v>0</v>
      </c>
      <c r="G451" s="32">
        <f t="shared" si="195"/>
        <v>0</v>
      </c>
      <c r="H451" s="32">
        <f t="shared" si="195"/>
        <v>0</v>
      </c>
      <c r="I451" s="32">
        <f t="shared" si="195"/>
        <v>0</v>
      </c>
      <c r="J451" s="32">
        <f t="shared" si="195"/>
        <v>0</v>
      </c>
      <c r="K451" s="34">
        <f t="shared" si="195"/>
        <v>0</v>
      </c>
      <c r="L451" s="32">
        <f t="shared" si="195"/>
        <v>0</v>
      </c>
      <c r="M451" s="32">
        <f t="shared" si="195"/>
        <v>629.09712090000005</v>
      </c>
      <c r="N451" s="32">
        <f t="shared" si="195"/>
        <v>2494957.6800000002</v>
      </c>
      <c r="O451" s="32">
        <f t="shared" si="195"/>
        <v>0</v>
      </c>
      <c r="P451" s="32">
        <f t="shared" si="195"/>
        <v>0</v>
      </c>
      <c r="Q451" s="32">
        <f t="shared" si="195"/>
        <v>0</v>
      </c>
      <c r="R451" s="32">
        <f t="shared" si="195"/>
        <v>0</v>
      </c>
      <c r="S451" s="32">
        <f t="shared" si="195"/>
        <v>0</v>
      </c>
      <c r="T451" s="32">
        <f t="shared" si="195"/>
        <v>0</v>
      </c>
      <c r="U451" s="32">
        <f t="shared" si="195"/>
        <v>0</v>
      </c>
      <c r="V451" s="32">
        <f t="shared" si="195"/>
        <v>0</v>
      </c>
      <c r="W451" s="32">
        <f t="shared" si="195"/>
        <v>0</v>
      </c>
      <c r="X451" s="32">
        <f t="shared" si="195"/>
        <v>0</v>
      </c>
      <c r="Y451" s="32">
        <f t="shared" si="195"/>
        <v>0</v>
      </c>
      <c r="Z451" s="32">
        <f t="shared" si="195"/>
        <v>0</v>
      </c>
      <c r="AA451" s="32">
        <f t="shared" si="195"/>
        <v>0</v>
      </c>
      <c r="AB451" s="32">
        <f t="shared" si="195"/>
        <v>0</v>
      </c>
      <c r="AC451" s="32">
        <f t="shared" si="195"/>
        <v>37424.370000000003</v>
      </c>
      <c r="AD451" s="32">
        <f t="shared" si="195"/>
        <v>150000</v>
      </c>
      <c r="AE451" s="32">
        <f t="shared" si="195"/>
        <v>0</v>
      </c>
      <c r="AF451" s="77" t="s">
        <v>801</v>
      </c>
      <c r="AG451" s="77" t="s">
        <v>801</v>
      </c>
      <c r="AH451" s="107" t="s">
        <v>801</v>
      </c>
      <c r="AT451" s="21" t="e">
        <f t="shared" si="193"/>
        <v>#N/A</v>
      </c>
    </row>
    <row r="452" spans="1:46" ht="61.5" x14ac:dyDescent="0.85">
      <c r="A452" s="21">
        <v>1</v>
      </c>
      <c r="B452" s="70">
        <f>SUBTOTAL(103,$A$22:A452)</f>
        <v>385</v>
      </c>
      <c r="C452" s="25" t="s">
        <v>147</v>
      </c>
      <c r="D452" s="32">
        <f t="shared" ref="D452" si="196">E452+F452+G452+H452+I452+J452+L452+N452+P452+R452+T452+U452+V452+W452+X452+Y452+Z452+AA452+AB452+AC452+AD452+AE452</f>
        <v>2682382.0500000003</v>
      </c>
      <c r="E452" s="32">
        <v>0</v>
      </c>
      <c r="F452" s="32">
        <v>0</v>
      </c>
      <c r="G452" s="32">
        <v>0</v>
      </c>
      <c r="H452" s="32">
        <v>0</v>
      </c>
      <c r="I452" s="32">
        <v>0</v>
      </c>
      <c r="J452" s="32">
        <v>0</v>
      </c>
      <c r="K452" s="34">
        <v>0</v>
      </c>
      <c r="L452" s="32">
        <v>0</v>
      </c>
      <c r="M452" s="32">
        <v>629.09712090000005</v>
      </c>
      <c r="N452" s="32">
        <v>2494957.6800000002</v>
      </c>
      <c r="O452" s="32">
        <v>0</v>
      </c>
      <c r="P452" s="32">
        <v>0</v>
      </c>
      <c r="Q452" s="32">
        <v>0</v>
      </c>
      <c r="R452" s="32">
        <v>0</v>
      </c>
      <c r="S452" s="32">
        <v>0</v>
      </c>
      <c r="T452" s="32">
        <v>0</v>
      </c>
      <c r="U452" s="32">
        <v>0</v>
      </c>
      <c r="V452" s="32">
        <v>0</v>
      </c>
      <c r="W452" s="32">
        <v>0</v>
      </c>
      <c r="X452" s="32">
        <v>0</v>
      </c>
      <c r="Y452" s="32">
        <v>0</v>
      </c>
      <c r="Z452" s="32">
        <v>0</v>
      </c>
      <c r="AA452" s="32">
        <v>0</v>
      </c>
      <c r="AB452" s="32">
        <v>0</v>
      </c>
      <c r="AC452" s="32">
        <f>ROUND(N452*1.5%,2)</f>
        <v>37424.370000000003</v>
      </c>
      <c r="AD452" s="32">
        <v>150000</v>
      </c>
      <c r="AE452" s="32">
        <v>0</v>
      </c>
      <c r="AF452" s="35">
        <v>2020</v>
      </c>
      <c r="AG452" s="35">
        <v>2020</v>
      </c>
      <c r="AH452" s="36">
        <v>2020</v>
      </c>
      <c r="AT452" s="21" t="e">
        <f t="shared" si="193"/>
        <v>#N/A</v>
      </c>
    </row>
    <row r="453" spans="1:46" ht="61.5" x14ac:dyDescent="0.85">
      <c r="B453" s="25" t="s">
        <v>903</v>
      </c>
      <c r="C453" s="25"/>
      <c r="D453" s="32">
        <f>SUM(D454:D459)</f>
        <v>10870670.800000001</v>
      </c>
      <c r="E453" s="32">
        <f t="shared" ref="E453:AE453" si="197">SUM(E454:E459)</f>
        <v>0</v>
      </c>
      <c r="F453" s="32">
        <f t="shared" si="197"/>
        <v>0</v>
      </c>
      <c r="G453" s="32">
        <f t="shared" si="197"/>
        <v>577866.11</v>
      </c>
      <c r="H453" s="32">
        <f t="shared" si="197"/>
        <v>0</v>
      </c>
      <c r="I453" s="32">
        <f t="shared" si="197"/>
        <v>0</v>
      </c>
      <c r="J453" s="32">
        <f t="shared" si="197"/>
        <v>0</v>
      </c>
      <c r="K453" s="34">
        <f t="shared" si="197"/>
        <v>0</v>
      </c>
      <c r="L453" s="32">
        <f t="shared" si="197"/>
        <v>0</v>
      </c>
      <c r="M453" s="32">
        <f t="shared" si="197"/>
        <v>1335.46</v>
      </c>
      <c r="N453" s="32">
        <f t="shared" si="197"/>
        <v>5902434.8500000006</v>
      </c>
      <c r="O453" s="32">
        <f t="shared" si="197"/>
        <v>0</v>
      </c>
      <c r="P453" s="32">
        <f t="shared" si="197"/>
        <v>0</v>
      </c>
      <c r="Q453" s="32">
        <f t="shared" si="197"/>
        <v>0</v>
      </c>
      <c r="R453" s="32">
        <f t="shared" si="197"/>
        <v>0</v>
      </c>
      <c r="S453" s="32">
        <f t="shared" si="197"/>
        <v>0</v>
      </c>
      <c r="T453" s="32">
        <f t="shared" si="197"/>
        <v>0</v>
      </c>
      <c r="U453" s="32">
        <f t="shared" si="197"/>
        <v>3628734.33</v>
      </c>
      <c r="V453" s="32">
        <f t="shared" si="197"/>
        <v>0</v>
      </c>
      <c r="W453" s="32">
        <f t="shared" si="197"/>
        <v>0</v>
      </c>
      <c r="X453" s="32">
        <f t="shared" si="197"/>
        <v>0</v>
      </c>
      <c r="Y453" s="32">
        <f t="shared" si="197"/>
        <v>0</v>
      </c>
      <c r="Z453" s="32">
        <f t="shared" si="197"/>
        <v>0</v>
      </c>
      <c r="AA453" s="32">
        <f t="shared" si="197"/>
        <v>0</v>
      </c>
      <c r="AB453" s="32">
        <f t="shared" si="197"/>
        <v>0</v>
      </c>
      <c r="AC453" s="32">
        <f t="shared" si="197"/>
        <v>151635.51</v>
      </c>
      <c r="AD453" s="32">
        <f t="shared" si="197"/>
        <v>370000</v>
      </c>
      <c r="AE453" s="32">
        <f t="shared" si="197"/>
        <v>240000</v>
      </c>
      <c r="AF453" s="77" t="s">
        <v>801</v>
      </c>
      <c r="AG453" s="77" t="s">
        <v>801</v>
      </c>
      <c r="AH453" s="107" t="s">
        <v>801</v>
      </c>
      <c r="AT453" s="21" t="e">
        <f t="shared" si="193"/>
        <v>#N/A</v>
      </c>
    </row>
    <row r="454" spans="1:46" ht="61.5" x14ac:dyDescent="0.85">
      <c r="A454" s="21">
        <v>1</v>
      </c>
      <c r="B454" s="70">
        <f>SUBTOTAL(103,$A$22:A454)</f>
        <v>386</v>
      </c>
      <c r="C454" s="25" t="s">
        <v>145</v>
      </c>
      <c r="D454" s="32">
        <f t="shared" ref="D454:D459" si="198">E454+F454+G454+H454+I454+J454+L454+N454+P454+R454+T454+U454+V454+W454+X454+Y454+Z454+AA454+AB454+AC454+AD454+AE454</f>
        <v>3933165.34</v>
      </c>
      <c r="E454" s="32">
        <v>0</v>
      </c>
      <c r="F454" s="32">
        <v>0</v>
      </c>
      <c r="G454" s="32">
        <v>0</v>
      </c>
      <c r="H454" s="32">
        <v>0</v>
      </c>
      <c r="I454" s="32">
        <v>0</v>
      </c>
      <c r="J454" s="32">
        <v>0</v>
      </c>
      <c r="K454" s="34">
        <v>0</v>
      </c>
      <c r="L454" s="32">
        <v>0</v>
      </c>
      <c r="M454" s="32">
        <v>0</v>
      </c>
      <c r="N454" s="32">
        <v>0</v>
      </c>
      <c r="O454" s="32">
        <v>0</v>
      </c>
      <c r="P454" s="32">
        <v>0</v>
      </c>
      <c r="Q454" s="32">
        <v>0</v>
      </c>
      <c r="R454" s="32">
        <v>0</v>
      </c>
      <c r="S454" s="32">
        <v>0</v>
      </c>
      <c r="T454" s="32">
        <v>0</v>
      </c>
      <c r="U454" s="32">
        <v>3628734.33</v>
      </c>
      <c r="V454" s="32">
        <v>0</v>
      </c>
      <c r="W454" s="32">
        <v>0</v>
      </c>
      <c r="X454" s="32">
        <v>0</v>
      </c>
      <c r="Y454" s="32">
        <v>0</v>
      </c>
      <c r="Z454" s="32">
        <v>0</v>
      </c>
      <c r="AA454" s="32">
        <v>0</v>
      </c>
      <c r="AB454" s="32">
        <v>0</v>
      </c>
      <c r="AC454" s="32">
        <f>ROUND(U454*1.5%,2)</f>
        <v>54431.01</v>
      </c>
      <c r="AD454" s="32">
        <v>250000</v>
      </c>
      <c r="AE454" s="32">
        <v>0</v>
      </c>
      <c r="AF454" s="35">
        <v>2020</v>
      </c>
      <c r="AG454" s="35">
        <v>2020</v>
      </c>
      <c r="AH454" s="36">
        <v>2020</v>
      </c>
      <c r="AT454" s="21" t="e">
        <f t="shared" si="193"/>
        <v>#N/A</v>
      </c>
    </row>
    <row r="455" spans="1:46" ht="61.5" x14ac:dyDescent="0.85">
      <c r="A455" s="21">
        <v>1</v>
      </c>
      <c r="B455" s="70">
        <f>SUBTOTAL(103,$A$22:A455)</f>
        <v>387</v>
      </c>
      <c r="C455" s="25" t="s">
        <v>146</v>
      </c>
      <c r="D455" s="32">
        <f t="shared" si="198"/>
        <v>1510400.1400000001</v>
      </c>
      <c r="E455" s="32">
        <v>0</v>
      </c>
      <c r="F455" s="32">
        <v>0</v>
      </c>
      <c r="G455" s="32">
        <v>0</v>
      </c>
      <c r="H455" s="32">
        <v>0</v>
      </c>
      <c r="I455" s="32">
        <v>0</v>
      </c>
      <c r="J455" s="32">
        <v>0</v>
      </c>
      <c r="K455" s="34">
        <v>0</v>
      </c>
      <c r="L455" s="32">
        <v>0</v>
      </c>
      <c r="M455" s="32">
        <v>315.39999999999998</v>
      </c>
      <c r="N455" s="32">
        <f>1444390.37+43688.59</f>
        <v>1488078.9600000002</v>
      </c>
      <c r="O455" s="32">
        <v>0</v>
      </c>
      <c r="P455" s="32">
        <v>0</v>
      </c>
      <c r="Q455" s="32">
        <v>0</v>
      </c>
      <c r="R455" s="32">
        <v>0</v>
      </c>
      <c r="S455" s="32">
        <v>0</v>
      </c>
      <c r="T455" s="32">
        <v>0</v>
      </c>
      <c r="U455" s="32">
        <v>0</v>
      </c>
      <c r="V455" s="32">
        <v>0</v>
      </c>
      <c r="W455" s="32">
        <v>0</v>
      </c>
      <c r="X455" s="32">
        <v>0</v>
      </c>
      <c r="Y455" s="32">
        <v>0</v>
      </c>
      <c r="Z455" s="32">
        <v>0</v>
      </c>
      <c r="AA455" s="32">
        <v>0</v>
      </c>
      <c r="AB455" s="32">
        <v>0</v>
      </c>
      <c r="AC455" s="32">
        <f t="shared" ref="AC455:AC456" si="199">ROUND(N455*1.5%,2)</f>
        <v>22321.18</v>
      </c>
      <c r="AD455" s="32">
        <v>0</v>
      </c>
      <c r="AE455" s="32">
        <v>0</v>
      </c>
      <c r="AF455" s="35" t="s">
        <v>275</v>
      </c>
      <c r="AG455" s="35">
        <v>2020</v>
      </c>
      <c r="AH455" s="36">
        <v>2020</v>
      </c>
      <c r="AT455" s="21" t="e">
        <f t="shared" si="193"/>
        <v>#N/A</v>
      </c>
    </row>
    <row r="456" spans="1:46" ht="61.5" x14ac:dyDescent="0.85">
      <c r="A456" s="21">
        <v>1</v>
      </c>
      <c r="B456" s="70">
        <f>SUBTOTAL(103,$A$22:A456)</f>
        <v>388</v>
      </c>
      <c r="C456" s="25" t="s">
        <v>1354</v>
      </c>
      <c r="D456" s="32">
        <f t="shared" si="198"/>
        <v>799808.07000000007</v>
      </c>
      <c r="E456" s="32">
        <v>0</v>
      </c>
      <c r="F456" s="32">
        <v>0</v>
      </c>
      <c r="G456" s="32">
        <v>0</v>
      </c>
      <c r="H456" s="32">
        <v>0</v>
      </c>
      <c r="I456" s="32">
        <v>0</v>
      </c>
      <c r="J456" s="32">
        <v>0</v>
      </c>
      <c r="K456" s="34">
        <v>0</v>
      </c>
      <c r="L456" s="32">
        <v>0</v>
      </c>
      <c r="M456" s="32">
        <v>150.88</v>
      </c>
      <c r="N456" s="32">
        <v>669761.65</v>
      </c>
      <c r="O456" s="32">
        <v>0</v>
      </c>
      <c r="P456" s="32">
        <v>0</v>
      </c>
      <c r="Q456" s="32">
        <v>0</v>
      </c>
      <c r="R456" s="32">
        <v>0</v>
      </c>
      <c r="S456" s="32">
        <v>0</v>
      </c>
      <c r="T456" s="32">
        <v>0</v>
      </c>
      <c r="U456" s="32">
        <v>0</v>
      </c>
      <c r="V456" s="32">
        <v>0</v>
      </c>
      <c r="W456" s="32">
        <v>0</v>
      </c>
      <c r="X456" s="32">
        <v>0</v>
      </c>
      <c r="Y456" s="32">
        <v>0</v>
      </c>
      <c r="Z456" s="32">
        <v>0</v>
      </c>
      <c r="AA456" s="32">
        <v>0</v>
      </c>
      <c r="AB456" s="32">
        <v>0</v>
      </c>
      <c r="AC456" s="32">
        <f t="shared" si="199"/>
        <v>10046.42</v>
      </c>
      <c r="AD456" s="32">
        <v>0</v>
      </c>
      <c r="AE456" s="32">
        <v>120000</v>
      </c>
      <c r="AF456" s="35" t="s">
        <v>275</v>
      </c>
      <c r="AG456" s="35">
        <v>2020</v>
      </c>
      <c r="AH456" s="36">
        <v>2020</v>
      </c>
    </row>
    <row r="457" spans="1:46" ht="61.5" x14ac:dyDescent="0.85">
      <c r="A457" s="21">
        <v>1</v>
      </c>
      <c r="B457" s="70">
        <f>SUBTOTAL(103,$A$22:A457)</f>
        <v>389</v>
      </c>
      <c r="C457" s="25" t="s">
        <v>1355</v>
      </c>
      <c r="D457" s="32">
        <f t="shared" si="198"/>
        <v>586534.1</v>
      </c>
      <c r="E457" s="32">
        <v>0</v>
      </c>
      <c r="F457" s="32">
        <v>0</v>
      </c>
      <c r="G457" s="32">
        <v>577866.11</v>
      </c>
      <c r="H457" s="32">
        <v>0</v>
      </c>
      <c r="I457" s="32">
        <v>0</v>
      </c>
      <c r="J457" s="32">
        <v>0</v>
      </c>
      <c r="K457" s="34">
        <v>0</v>
      </c>
      <c r="L457" s="32">
        <v>0</v>
      </c>
      <c r="M457" s="32">
        <v>0</v>
      </c>
      <c r="N457" s="32">
        <v>0</v>
      </c>
      <c r="O457" s="32">
        <v>0</v>
      </c>
      <c r="P457" s="32">
        <v>0</v>
      </c>
      <c r="Q457" s="32">
        <v>0</v>
      </c>
      <c r="R457" s="32">
        <v>0</v>
      </c>
      <c r="S457" s="32">
        <v>0</v>
      </c>
      <c r="T457" s="32">
        <v>0</v>
      </c>
      <c r="U457" s="32">
        <v>0</v>
      </c>
      <c r="V457" s="32">
        <v>0</v>
      </c>
      <c r="W457" s="32">
        <v>0</v>
      </c>
      <c r="X457" s="32">
        <v>0</v>
      </c>
      <c r="Y457" s="32">
        <v>0</v>
      </c>
      <c r="Z457" s="32">
        <v>0</v>
      </c>
      <c r="AA457" s="32">
        <v>0</v>
      </c>
      <c r="AB457" s="32">
        <v>0</v>
      </c>
      <c r="AC457" s="32">
        <f t="shared" ref="AC457" si="200">ROUND((E457+F457+G457+H457+I457+J457)*1.5%,2)</f>
        <v>8667.99</v>
      </c>
      <c r="AD457" s="32">
        <v>0</v>
      </c>
      <c r="AE457" s="32">
        <v>0</v>
      </c>
      <c r="AF457" s="35" t="s">
        <v>275</v>
      </c>
      <c r="AG457" s="35">
        <v>2020</v>
      </c>
      <c r="AH457" s="36">
        <v>2020</v>
      </c>
    </row>
    <row r="458" spans="1:46" ht="61.5" x14ac:dyDescent="0.85">
      <c r="A458" s="21">
        <v>1</v>
      </c>
      <c r="B458" s="70">
        <f>SUBTOTAL(103,$A$22:A458)</f>
        <v>390</v>
      </c>
      <c r="C458" s="25" t="s">
        <v>1356</v>
      </c>
      <c r="D458" s="32">
        <f t="shared" si="198"/>
        <v>1517864.1500000001</v>
      </c>
      <c r="E458" s="32">
        <v>0</v>
      </c>
      <c r="F458" s="32">
        <v>0</v>
      </c>
      <c r="G458" s="32">
        <v>0</v>
      </c>
      <c r="H458" s="32">
        <v>0</v>
      </c>
      <c r="I458" s="32">
        <v>0</v>
      </c>
      <c r="J458" s="32">
        <v>0</v>
      </c>
      <c r="K458" s="34">
        <v>0</v>
      </c>
      <c r="L458" s="32">
        <v>0</v>
      </c>
      <c r="M458" s="32">
        <v>272.38</v>
      </c>
      <c r="N458" s="32">
        <v>1377206.06</v>
      </c>
      <c r="O458" s="32">
        <v>0</v>
      </c>
      <c r="P458" s="32">
        <v>0</v>
      </c>
      <c r="Q458" s="32">
        <v>0</v>
      </c>
      <c r="R458" s="32">
        <v>0</v>
      </c>
      <c r="S458" s="32">
        <v>0</v>
      </c>
      <c r="T458" s="32">
        <v>0</v>
      </c>
      <c r="U458" s="32">
        <v>0</v>
      </c>
      <c r="V458" s="32">
        <v>0</v>
      </c>
      <c r="W458" s="32">
        <v>0</v>
      </c>
      <c r="X458" s="32">
        <v>0</v>
      </c>
      <c r="Y458" s="32">
        <v>0</v>
      </c>
      <c r="Z458" s="32">
        <v>0</v>
      </c>
      <c r="AA458" s="32">
        <v>0</v>
      </c>
      <c r="AB458" s="32">
        <v>0</v>
      </c>
      <c r="AC458" s="32">
        <f>ROUND(N458*1.5%,2)</f>
        <v>20658.09</v>
      </c>
      <c r="AD458" s="32">
        <v>0</v>
      </c>
      <c r="AE458" s="32">
        <v>120000</v>
      </c>
      <c r="AF458" s="35" t="s">
        <v>275</v>
      </c>
      <c r="AG458" s="35">
        <v>2020</v>
      </c>
      <c r="AH458" s="36">
        <v>2020</v>
      </c>
    </row>
    <row r="459" spans="1:46" ht="61.5" x14ac:dyDescent="0.85">
      <c r="A459" s="21">
        <v>1</v>
      </c>
      <c r="B459" s="70">
        <f>SUBTOTAL(103,$A$22:A459)</f>
        <v>391</v>
      </c>
      <c r="C459" s="25" t="s">
        <v>1394</v>
      </c>
      <c r="D459" s="32">
        <f t="shared" si="198"/>
        <v>2522899</v>
      </c>
      <c r="E459" s="32">
        <v>0</v>
      </c>
      <c r="F459" s="32">
        <v>0</v>
      </c>
      <c r="G459" s="32">
        <v>0</v>
      </c>
      <c r="H459" s="32">
        <v>0</v>
      </c>
      <c r="I459" s="32">
        <v>0</v>
      </c>
      <c r="J459" s="32">
        <v>0</v>
      </c>
      <c r="K459" s="34">
        <v>0</v>
      </c>
      <c r="L459" s="32">
        <v>0</v>
      </c>
      <c r="M459" s="32">
        <v>596.79999999999995</v>
      </c>
      <c r="N459" s="32">
        <v>2367388.1800000002</v>
      </c>
      <c r="O459" s="32">
        <v>0</v>
      </c>
      <c r="P459" s="32">
        <v>0</v>
      </c>
      <c r="Q459" s="32">
        <v>0</v>
      </c>
      <c r="R459" s="32">
        <v>0</v>
      </c>
      <c r="S459" s="32">
        <v>0</v>
      </c>
      <c r="T459" s="32">
        <v>0</v>
      </c>
      <c r="U459" s="32">
        <v>0</v>
      </c>
      <c r="V459" s="32">
        <v>0</v>
      </c>
      <c r="W459" s="32">
        <v>0</v>
      </c>
      <c r="X459" s="32">
        <v>0</v>
      </c>
      <c r="Y459" s="32">
        <v>0</v>
      </c>
      <c r="Z459" s="32">
        <v>0</v>
      </c>
      <c r="AA459" s="32">
        <v>0</v>
      </c>
      <c r="AB459" s="32">
        <v>0</v>
      </c>
      <c r="AC459" s="32">
        <f>ROUND(N459*1.5%,2)</f>
        <v>35510.82</v>
      </c>
      <c r="AD459" s="32">
        <v>120000</v>
      </c>
      <c r="AE459" s="32">
        <v>0</v>
      </c>
      <c r="AF459" s="35">
        <v>2020</v>
      </c>
      <c r="AG459" s="35">
        <v>2020</v>
      </c>
      <c r="AH459" s="36">
        <v>2020</v>
      </c>
    </row>
    <row r="460" spans="1:46" ht="61.5" x14ac:dyDescent="0.85">
      <c r="B460" s="25" t="s">
        <v>904</v>
      </c>
      <c r="C460" s="25"/>
      <c r="D460" s="32">
        <f>SUM(D461:D468)</f>
        <v>27720330.040000003</v>
      </c>
      <c r="E460" s="32">
        <f t="shared" ref="E460:AE460" si="201">SUM(E461:E468)</f>
        <v>284170.99</v>
      </c>
      <c r="F460" s="32">
        <f t="shared" si="201"/>
        <v>0</v>
      </c>
      <c r="G460" s="32">
        <f t="shared" si="201"/>
        <v>2885147.71</v>
      </c>
      <c r="H460" s="32">
        <f t="shared" si="201"/>
        <v>406111.39</v>
      </c>
      <c r="I460" s="32">
        <f t="shared" si="201"/>
        <v>1008919.92</v>
      </c>
      <c r="J460" s="32">
        <f t="shared" si="201"/>
        <v>0</v>
      </c>
      <c r="K460" s="34">
        <f t="shared" si="201"/>
        <v>0</v>
      </c>
      <c r="L460" s="32">
        <f t="shared" si="201"/>
        <v>0</v>
      </c>
      <c r="M460" s="32">
        <f t="shared" si="201"/>
        <v>5412.84</v>
      </c>
      <c r="N460" s="32">
        <f t="shared" si="201"/>
        <v>21957847.07</v>
      </c>
      <c r="O460" s="32">
        <f t="shared" si="201"/>
        <v>0</v>
      </c>
      <c r="P460" s="32">
        <f t="shared" si="201"/>
        <v>0</v>
      </c>
      <c r="Q460" s="32">
        <f t="shared" si="201"/>
        <v>0</v>
      </c>
      <c r="R460" s="32">
        <f t="shared" si="201"/>
        <v>0</v>
      </c>
      <c r="S460" s="32">
        <f t="shared" si="201"/>
        <v>0</v>
      </c>
      <c r="T460" s="32">
        <f t="shared" si="201"/>
        <v>0</v>
      </c>
      <c r="U460" s="32">
        <f t="shared" si="201"/>
        <v>0</v>
      </c>
      <c r="V460" s="32">
        <f t="shared" si="201"/>
        <v>0</v>
      </c>
      <c r="W460" s="32">
        <f t="shared" si="201"/>
        <v>0</v>
      </c>
      <c r="X460" s="32">
        <f t="shared" si="201"/>
        <v>0</v>
      </c>
      <c r="Y460" s="32">
        <f t="shared" si="201"/>
        <v>0</v>
      </c>
      <c r="Z460" s="32">
        <f t="shared" si="201"/>
        <v>0</v>
      </c>
      <c r="AA460" s="32">
        <f t="shared" si="201"/>
        <v>0</v>
      </c>
      <c r="AB460" s="32">
        <f t="shared" si="201"/>
        <v>0</v>
      </c>
      <c r="AC460" s="32">
        <f t="shared" si="201"/>
        <v>398132.96</v>
      </c>
      <c r="AD460" s="32">
        <f t="shared" si="201"/>
        <v>780000</v>
      </c>
      <c r="AE460" s="32">
        <f t="shared" si="201"/>
        <v>0</v>
      </c>
      <c r="AF460" s="77" t="s">
        <v>801</v>
      </c>
      <c r="AG460" s="77" t="s">
        <v>801</v>
      </c>
      <c r="AH460" s="107" t="s">
        <v>801</v>
      </c>
      <c r="AT460" s="21" t="e">
        <f>VLOOKUP(C460,AW:AX,2,FALSE)</f>
        <v>#N/A</v>
      </c>
    </row>
    <row r="461" spans="1:46" ht="61.5" x14ac:dyDescent="0.85">
      <c r="A461" s="21">
        <v>1</v>
      </c>
      <c r="B461" s="70">
        <f>SUBTOTAL(103,$A$22:A461)</f>
        <v>392</v>
      </c>
      <c r="C461" s="25" t="s">
        <v>148</v>
      </c>
      <c r="D461" s="32">
        <f t="shared" ref="D461:D468" si="202">E461+F461+G461+H461+I461+J461+L461+N461+P461+R461+T461+U461+V461+W461+X461+Y461+Z461+AA461+AB461+AC461+AD461+AE461</f>
        <v>6331496.0299999993</v>
      </c>
      <c r="E461" s="32">
        <v>0</v>
      </c>
      <c r="F461" s="32">
        <v>0</v>
      </c>
      <c r="G461" s="32">
        <v>0</v>
      </c>
      <c r="H461" s="32">
        <v>0</v>
      </c>
      <c r="I461" s="32">
        <v>0</v>
      </c>
      <c r="J461" s="32">
        <v>0</v>
      </c>
      <c r="K461" s="34">
        <v>0</v>
      </c>
      <c r="L461" s="32">
        <v>0</v>
      </c>
      <c r="M461" s="32">
        <v>1581.83</v>
      </c>
      <c r="N461" s="32">
        <v>6060587.2199999997</v>
      </c>
      <c r="O461" s="32">
        <v>0</v>
      </c>
      <c r="P461" s="32">
        <v>0</v>
      </c>
      <c r="Q461" s="32">
        <v>0</v>
      </c>
      <c r="R461" s="32">
        <v>0</v>
      </c>
      <c r="S461" s="32">
        <v>0</v>
      </c>
      <c r="T461" s="32">
        <v>0</v>
      </c>
      <c r="U461" s="32">
        <v>0</v>
      </c>
      <c r="V461" s="32">
        <v>0</v>
      </c>
      <c r="W461" s="32">
        <v>0</v>
      </c>
      <c r="X461" s="32">
        <v>0</v>
      </c>
      <c r="Y461" s="32">
        <v>0</v>
      </c>
      <c r="Z461" s="32">
        <v>0</v>
      </c>
      <c r="AA461" s="32">
        <v>0</v>
      </c>
      <c r="AB461" s="32">
        <v>0</v>
      </c>
      <c r="AC461" s="32">
        <f t="shared" ref="AC461:AC463" si="203">ROUND(N461*1.5%,2)</f>
        <v>90908.81</v>
      </c>
      <c r="AD461" s="32">
        <v>180000</v>
      </c>
      <c r="AE461" s="32">
        <v>0</v>
      </c>
      <c r="AF461" s="35">
        <v>2020</v>
      </c>
      <c r="AG461" s="35">
        <v>2020</v>
      </c>
      <c r="AH461" s="36">
        <v>2020</v>
      </c>
      <c r="AT461" s="21" t="e">
        <f>VLOOKUP(C461,AW:AX,2,FALSE)</f>
        <v>#N/A</v>
      </c>
    </row>
    <row r="462" spans="1:46" ht="61.5" x14ac:dyDescent="0.85">
      <c r="A462" s="21">
        <v>1</v>
      </c>
      <c r="B462" s="70">
        <f>SUBTOTAL(103,$A$22:A462)</f>
        <v>393</v>
      </c>
      <c r="C462" s="25" t="s">
        <v>143</v>
      </c>
      <c r="D462" s="32">
        <f t="shared" si="202"/>
        <v>4186102.2</v>
      </c>
      <c r="E462" s="32">
        <v>0</v>
      </c>
      <c r="F462" s="32">
        <v>0</v>
      </c>
      <c r="G462" s="32">
        <v>0</v>
      </c>
      <c r="H462" s="32">
        <v>0</v>
      </c>
      <c r="I462" s="32">
        <v>0</v>
      </c>
      <c r="J462" s="32">
        <v>0</v>
      </c>
      <c r="K462" s="34">
        <v>0</v>
      </c>
      <c r="L462" s="32">
        <v>0</v>
      </c>
      <c r="M462" s="32">
        <v>1140</v>
      </c>
      <c r="N462" s="32">
        <v>3946898.72</v>
      </c>
      <c r="O462" s="32">
        <v>0</v>
      </c>
      <c r="P462" s="32">
        <v>0</v>
      </c>
      <c r="Q462" s="32">
        <v>0</v>
      </c>
      <c r="R462" s="32">
        <v>0</v>
      </c>
      <c r="S462" s="32">
        <v>0</v>
      </c>
      <c r="T462" s="32">
        <v>0</v>
      </c>
      <c r="U462" s="32">
        <v>0</v>
      </c>
      <c r="V462" s="32">
        <v>0</v>
      </c>
      <c r="W462" s="32">
        <v>0</v>
      </c>
      <c r="X462" s="32">
        <v>0</v>
      </c>
      <c r="Y462" s="32">
        <v>0</v>
      </c>
      <c r="Z462" s="32">
        <v>0</v>
      </c>
      <c r="AA462" s="32">
        <v>0</v>
      </c>
      <c r="AB462" s="32">
        <v>0</v>
      </c>
      <c r="AC462" s="32">
        <f t="shared" si="203"/>
        <v>59203.48</v>
      </c>
      <c r="AD462" s="32">
        <v>180000</v>
      </c>
      <c r="AE462" s="32">
        <v>0</v>
      </c>
      <c r="AF462" s="35">
        <v>2020</v>
      </c>
      <c r="AG462" s="35">
        <v>2020</v>
      </c>
      <c r="AH462" s="36">
        <v>2020</v>
      </c>
      <c r="AT462" s="21" t="e">
        <f>VLOOKUP(C462,AW:AX,2,FALSE)</f>
        <v>#N/A</v>
      </c>
    </row>
    <row r="463" spans="1:46" ht="61.5" x14ac:dyDescent="0.85">
      <c r="A463" s="21">
        <v>1</v>
      </c>
      <c r="B463" s="70">
        <f>SUBTOTAL(103,$A$22:A463)</f>
        <v>394</v>
      </c>
      <c r="C463" s="25" t="s">
        <v>144</v>
      </c>
      <c r="D463" s="32">
        <f t="shared" si="202"/>
        <v>5823841.1999999993</v>
      </c>
      <c r="E463" s="32">
        <v>0</v>
      </c>
      <c r="F463" s="32">
        <v>0</v>
      </c>
      <c r="G463" s="32">
        <v>0</v>
      </c>
      <c r="H463" s="32">
        <v>0</v>
      </c>
      <c r="I463" s="32">
        <v>0</v>
      </c>
      <c r="J463" s="32">
        <v>0</v>
      </c>
      <c r="K463" s="34">
        <v>0</v>
      </c>
      <c r="L463" s="32">
        <v>0</v>
      </c>
      <c r="M463" s="32">
        <v>1455</v>
      </c>
      <c r="N463" s="32">
        <v>5560434.6799999997</v>
      </c>
      <c r="O463" s="32">
        <v>0</v>
      </c>
      <c r="P463" s="32">
        <v>0</v>
      </c>
      <c r="Q463" s="32">
        <v>0</v>
      </c>
      <c r="R463" s="32">
        <v>0</v>
      </c>
      <c r="S463" s="32">
        <v>0</v>
      </c>
      <c r="T463" s="32">
        <v>0</v>
      </c>
      <c r="U463" s="32">
        <v>0</v>
      </c>
      <c r="V463" s="32">
        <v>0</v>
      </c>
      <c r="W463" s="32">
        <v>0</v>
      </c>
      <c r="X463" s="32">
        <v>0</v>
      </c>
      <c r="Y463" s="32">
        <v>0</v>
      </c>
      <c r="Z463" s="32">
        <v>0</v>
      </c>
      <c r="AA463" s="32">
        <v>0</v>
      </c>
      <c r="AB463" s="32">
        <v>0</v>
      </c>
      <c r="AC463" s="32">
        <f t="shared" si="203"/>
        <v>83406.52</v>
      </c>
      <c r="AD463" s="32">
        <v>180000</v>
      </c>
      <c r="AE463" s="32">
        <v>0</v>
      </c>
      <c r="AF463" s="35">
        <v>2020</v>
      </c>
      <c r="AG463" s="35">
        <v>2020</v>
      </c>
      <c r="AH463" s="36">
        <v>2020</v>
      </c>
      <c r="AT463" s="21" t="e">
        <f>VLOOKUP(C463,AW:AX,2,FALSE)</f>
        <v>#N/A</v>
      </c>
    </row>
    <row r="464" spans="1:46" ht="61.5" x14ac:dyDescent="0.85">
      <c r="A464" s="21">
        <v>1</v>
      </c>
      <c r="B464" s="70">
        <f>SUBTOTAL(103,$A$22:A464)</f>
        <v>395</v>
      </c>
      <c r="C464" s="25" t="s">
        <v>1345</v>
      </c>
      <c r="D464" s="32">
        <f t="shared" si="202"/>
        <v>1804087.71</v>
      </c>
      <c r="E464" s="32">
        <v>142596.67000000001</v>
      </c>
      <c r="F464" s="32">
        <v>0</v>
      </c>
      <c r="G464" s="32">
        <v>952149.43</v>
      </c>
      <c r="H464" s="32">
        <v>193602.76</v>
      </c>
      <c r="I464" s="32">
        <v>489077.46</v>
      </c>
      <c r="J464" s="32">
        <v>0</v>
      </c>
      <c r="K464" s="34">
        <v>0</v>
      </c>
      <c r="L464" s="32">
        <v>0</v>
      </c>
      <c r="M464" s="32">
        <v>0</v>
      </c>
      <c r="N464" s="32">
        <v>0</v>
      </c>
      <c r="O464" s="32">
        <v>0</v>
      </c>
      <c r="P464" s="32">
        <v>0</v>
      </c>
      <c r="Q464" s="32">
        <v>0</v>
      </c>
      <c r="R464" s="32">
        <v>0</v>
      </c>
      <c r="S464" s="32">
        <v>0</v>
      </c>
      <c r="T464" s="32">
        <v>0</v>
      </c>
      <c r="U464" s="32">
        <v>0</v>
      </c>
      <c r="V464" s="32">
        <v>0</v>
      </c>
      <c r="W464" s="32">
        <v>0</v>
      </c>
      <c r="X464" s="32">
        <v>0</v>
      </c>
      <c r="Y464" s="32">
        <v>0</v>
      </c>
      <c r="Z464" s="32">
        <v>0</v>
      </c>
      <c r="AA464" s="32">
        <v>0</v>
      </c>
      <c r="AB464" s="32">
        <v>0</v>
      </c>
      <c r="AC464" s="32">
        <f t="shared" ref="AC464:AC465" si="204">ROUND((E464+F464+G464+H464+I464+J464)*1.5%,2)</f>
        <v>26661.39</v>
      </c>
      <c r="AD464" s="32">
        <v>0</v>
      </c>
      <c r="AE464" s="32">
        <v>0</v>
      </c>
      <c r="AF464" s="35" t="s">
        <v>275</v>
      </c>
      <c r="AG464" s="35">
        <v>2020</v>
      </c>
      <c r="AH464" s="36">
        <v>2020</v>
      </c>
    </row>
    <row r="465" spans="1:46" ht="61.5" x14ac:dyDescent="0.85">
      <c r="A465" s="21">
        <v>1</v>
      </c>
      <c r="B465" s="70">
        <f>SUBTOTAL(103,$A$22:A465)</f>
        <v>396</v>
      </c>
      <c r="C465" s="25" t="s">
        <v>1346</v>
      </c>
      <c r="D465" s="32">
        <f t="shared" si="202"/>
        <v>1623736.5999999999</v>
      </c>
      <c r="E465" s="32">
        <v>141574.32</v>
      </c>
      <c r="F465" s="32">
        <v>0</v>
      </c>
      <c r="G465" s="32">
        <v>725815.08</v>
      </c>
      <c r="H465" s="32">
        <v>212508.63</v>
      </c>
      <c r="I465" s="32">
        <v>519842.46</v>
      </c>
      <c r="J465" s="32">
        <v>0</v>
      </c>
      <c r="K465" s="34">
        <v>0</v>
      </c>
      <c r="L465" s="32">
        <v>0</v>
      </c>
      <c r="M465" s="32">
        <v>0</v>
      </c>
      <c r="N465" s="32">
        <v>0</v>
      </c>
      <c r="O465" s="32">
        <v>0</v>
      </c>
      <c r="P465" s="32">
        <v>0</v>
      </c>
      <c r="Q465" s="32">
        <v>0</v>
      </c>
      <c r="R465" s="32">
        <v>0</v>
      </c>
      <c r="S465" s="32">
        <v>0</v>
      </c>
      <c r="T465" s="32">
        <v>0</v>
      </c>
      <c r="U465" s="32">
        <v>0</v>
      </c>
      <c r="V465" s="32">
        <v>0</v>
      </c>
      <c r="W465" s="32">
        <v>0</v>
      </c>
      <c r="X465" s="32">
        <v>0</v>
      </c>
      <c r="Y465" s="32">
        <v>0</v>
      </c>
      <c r="Z465" s="32">
        <v>0</v>
      </c>
      <c r="AA465" s="32">
        <v>0</v>
      </c>
      <c r="AB465" s="32">
        <v>0</v>
      </c>
      <c r="AC465" s="32">
        <f t="shared" si="204"/>
        <v>23996.11</v>
      </c>
      <c r="AD465" s="32">
        <v>0</v>
      </c>
      <c r="AE465" s="32">
        <v>0</v>
      </c>
      <c r="AF465" s="35" t="s">
        <v>275</v>
      </c>
      <c r="AG465" s="35">
        <v>2020</v>
      </c>
      <c r="AH465" s="36">
        <v>2020</v>
      </c>
    </row>
    <row r="466" spans="1:46" ht="61.5" x14ac:dyDescent="0.85">
      <c r="A466" s="21">
        <v>1</v>
      </c>
      <c r="B466" s="70">
        <f>SUBTOTAL(103,$A$22:A466)</f>
        <v>397</v>
      </c>
      <c r="C466" s="25" t="s">
        <v>1347</v>
      </c>
      <c r="D466" s="32">
        <f t="shared" si="202"/>
        <v>1225290.95</v>
      </c>
      <c r="E466" s="32">
        <v>0</v>
      </c>
      <c r="F466" s="32">
        <v>0</v>
      </c>
      <c r="G466" s="32">
        <v>1207183.2</v>
      </c>
      <c r="H466" s="32">
        <v>0</v>
      </c>
      <c r="I466" s="32">
        <v>0</v>
      </c>
      <c r="J466" s="32">
        <v>0</v>
      </c>
      <c r="K466" s="34">
        <v>0</v>
      </c>
      <c r="L466" s="32">
        <v>0</v>
      </c>
      <c r="M466" s="32">
        <v>0</v>
      </c>
      <c r="N466" s="32">
        <v>0</v>
      </c>
      <c r="O466" s="32">
        <v>0</v>
      </c>
      <c r="P466" s="32">
        <v>0</v>
      </c>
      <c r="Q466" s="32">
        <v>0</v>
      </c>
      <c r="R466" s="32">
        <v>0</v>
      </c>
      <c r="S466" s="32">
        <v>0</v>
      </c>
      <c r="T466" s="32">
        <v>0</v>
      </c>
      <c r="U466" s="32">
        <v>0</v>
      </c>
      <c r="V466" s="32">
        <v>0</v>
      </c>
      <c r="W466" s="32">
        <v>0</v>
      </c>
      <c r="X466" s="32">
        <v>0</v>
      </c>
      <c r="Y466" s="32">
        <v>0</v>
      </c>
      <c r="Z466" s="32">
        <v>0</v>
      </c>
      <c r="AA466" s="32">
        <v>0</v>
      </c>
      <c r="AB466" s="32">
        <v>0</v>
      </c>
      <c r="AC466" s="32">
        <f t="shared" ref="AC466" si="205">ROUND((E466+F466+G466+H466+I466+J466)*1.5%,2)</f>
        <v>18107.75</v>
      </c>
      <c r="AD466" s="32">
        <v>0</v>
      </c>
      <c r="AE466" s="32">
        <v>0</v>
      </c>
      <c r="AF466" s="35" t="s">
        <v>275</v>
      </c>
      <c r="AG466" s="35">
        <v>2020</v>
      </c>
      <c r="AH466" s="36">
        <v>2020</v>
      </c>
    </row>
    <row r="467" spans="1:46" ht="61.5" x14ac:dyDescent="0.85">
      <c r="A467" s="21">
        <v>1</v>
      </c>
      <c r="B467" s="70">
        <f>SUBTOTAL(103,$A$22:A467)</f>
        <v>398</v>
      </c>
      <c r="C467" s="25" t="s">
        <v>1379</v>
      </c>
      <c r="D467" s="32">
        <f t="shared" si="202"/>
        <v>2883800.01</v>
      </c>
      <c r="E467" s="32">
        <v>0</v>
      </c>
      <c r="F467" s="32">
        <v>0</v>
      </c>
      <c r="G467" s="32">
        <v>0</v>
      </c>
      <c r="H467" s="32">
        <v>0</v>
      </c>
      <c r="I467" s="32">
        <v>0</v>
      </c>
      <c r="J467" s="32">
        <v>0</v>
      </c>
      <c r="K467" s="34">
        <v>0</v>
      </c>
      <c r="L467" s="32">
        <v>0</v>
      </c>
      <c r="M467" s="32">
        <v>526.01</v>
      </c>
      <c r="N467" s="32">
        <f>2472955.67+250000</f>
        <v>2722955.67</v>
      </c>
      <c r="O467" s="32">
        <v>0</v>
      </c>
      <c r="P467" s="32">
        <v>0</v>
      </c>
      <c r="Q467" s="32">
        <v>0</v>
      </c>
      <c r="R467" s="32">
        <v>0</v>
      </c>
      <c r="S467" s="32">
        <v>0</v>
      </c>
      <c r="T467" s="32">
        <v>0</v>
      </c>
      <c r="U467" s="32">
        <v>0</v>
      </c>
      <c r="V467" s="32">
        <v>0</v>
      </c>
      <c r="W467" s="32">
        <v>0</v>
      </c>
      <c r="X467" s="32">
        <v>0</v>
      </c>
      <c r="Y467" s="32">
        <v>0</v>
      </c>
      <c r="Z467" s="32">
        <v>0</v>
      </c>
      <c r="AA467" s="32">
        <v>0</v>
      </c>
      <c r="AB467" s="32">
        <v>0</v>
      </c>
      <c r="AC467" s="32">
        <f t="shared" ref="AC467:AC468" si="206">ROUND(N467*1.5%,2)</f>
        <v>40844.339999999997</v>
      </c>
      <c r="AD467" s="32">
        <v>120000</v>
      </c>
      <c r="AE467" s="32">
        <v>0</v>
      </c>
      <c r="AF467" s="35">
        <v>2020</v>
      </c>
      <c r="AG467" s="35">
        <v>2020</v>
      </c>
      <c r="AH467" s="36">
        <v>2020</v>
      </c>
    </row>
    <row r="468" spans="1:46" ht="61.5" x14ac:dyDescent="0.85">
      <c r="A468" s="21">
        <v>1</v>
      </c>
      <c r="B468" s="70">
        <f>SUBTOTAL(103,$A$22:A468)</f>
        <v>399</v>
      </c>
      <c r="C468" s="25" t="s">
        <v>1380</v>
      </c>
      <c r="D468" s="32">
        <f t="shared" si="202"/>
        <v>3841975.34</v>
      </c>
      <c r="E468" s="32">
        <v>0</v>
      </c>
      <c r="F468" s="32">
        <v>0</v>
      </c>
      <c r="G468" s="32">
        <v>0</v>
      </c>
      <c r="H468" s="32">
        <v>0</v>
      </c>
      <c r="I468" s="32">
        <v>0</v>
      </c>
      <c r="J468" s="32">
        <v>0</v>
      </c>
      <c r="K468" s="34">
        <v>0</v>
      </c>
      <c r="L468" s="32">
        <v>0</v>
      </c>
      <c r="M468" s="32">
        <v>710</v>
      </c>
      <c r="N468" s="32">
        <f>3379310.34+287660.44</f>
        <v>3666970.78</v>
      </c>
      <c r="O468" s="32">
        <v>0</v>
      </c>
      <c r="P468" s="32">
        <v>0</v>
      </c>
      <c r="Q468" s="32">
        <v>0</v>
      </c>
      <c r="R468" s="32">
        <v>0</v>
      </c>
      <c r="S468" s="32">
        <v>0</v>
      </c>
      <c r="T468" s="32">
        <v>0</v>
      </c>
      <c r="U468" s="32">
        <v>0</v>
      </c>
      <c r="V468" s="32">
        <v>0</v>
      </c>
      <c r="W468" s="32">
        <v>0</v>
      </c>
      <c r="X468" s="32">
        <v>0</v>
      </c>
      <c r="Y468" s="32">
        <v>0</v>
      </c>
      <c r="Z468" s="32">
        <v>0</v>
      </c>
      <c r="AA468" s="32">
        <v>0</v>
      </c>
      <c r="AB468" s="32">
        <v>0</v>
      </c>
      <c r="AC468" s="32">
        <f t="shared" si="206"/>
        <v>55004.56</v>
      </c>
      <c r="AD468" s="32">
        <v>120000</v>
      </c>
      <c r="AE468" s="32">
        <v>0</v>
      </c>
      <c r="AF468" s="35">
        <v>2020</v>
      </c>
      <c r="AG468" s="35">
        <v>2020</v>
      </c>
      <c r="AH468" s="36">
        <v>2020</v>
      </c>
    </row>
    <row r="469" spans="1:46" ht="61.5" x14ac:dyDescent="0.85">
      <c r="B469" s="25" t="s">
        <v>905</v>
      </c>
      <c r="C469" s="25"/>
      <c r="D469" s="32">
        <f>SUM(D470:D477)</f>
        <v>38448201.020000003</v>
      </c>
      <c r="E469" s="32">
        <f t="shared" ref="E469:AE469" si="207">SUM(E470:E477)</f>
        <v>0</v>
      </c>
      <c r="F469" s="32">
        <f t="shared" si="207"/>
        <v>0</v>
      </c>
      <c r="G469" s="32">
        <f t="shared" si="207"/>
        <v>3848168.19</v>
      </c>
      <c r="H469" s="32">
        <f t="shared" si="207"/>
        <v>0</v>
      </c>
      <c r="I469" s="32">
        <f t="shared" si="207"/>
        <v>0</v>
      </c>
      <c r="J469" s="32">
        <f t="shared" si="207"/>
        <v>0</v>
      </c>
      <c r="K469" s="34">
        <f t="shared" si="207"/>
        <v>0</v>
      </c>
      <c r="L469" s="32">
        <f t="shared" si="207"/>
        <v>0</v>
      </c>
      <c r="M469" s="32">
        <f t="shared" si="207"/>
        <v>6975.73</v>
      </c>
      <c r="N469" s="32">
        <f t="shared" si="207"/>
        <v>32508421.639999997</v>
      </c>
      <c r="O469" s="32">
        <f t="shared" si="207"/>
        <v>192</v>
      </c>
      <c r="P469" s="32">
        <f t="shared" si="207"/>
        <v>518485.12</v>
      </c>
      <c r="Q469" s="32">
        <f t="shared" si="207"/>
        <v>0</v>
      </c>
      <c r="R469" s="32">
        <f t="shared" si="207"/>
        <v>0</v>
      </c>
      <c r="S469" s="32">
        <f t="shared" si="207"/>
        <v>0</v>
      </c>
      <c r="T469" s="32">
        <f t="shared" si="207"/>
        <v>0</v>
      </c>
      <c r="U469" s="32">
        <f t="shared" si="207"/>
        <v>0</v>
      </c>
      <c r="V469" s="32">
        <f t="shared" si="207"/>
        <v>0</v>
      </c>
      <c r="W469" s="32">
        <f t="shared" si="207"/>
        <v>0</v>
      </c>
      <c r="X469" s="32">
        <f t="shared" si="207"/>
        <v>0</v>
      </c>
      <c r="Y469" s="32">
        <f t="shared" si="207"/>
        <v>0</v>
      </c>
      <c r="Z469" s="32">
        <f t="shared" si="207"/>
        <v>0</v>
      </c>
      <c r="AA469" s="32">
        <f t="shared" si="207"/>
        <v>0</v>
      </c>
      <c r="AB469" s="32">
        <f t="shared" si="207"/>
        <v>0</v>
      </c>
      <c r="AC469" s="32">
        <f t="shared" si="207"/>
        <v>553126.13</v>
      </c>
      <c r="AD469" s="32">
        <f t="shared" si="207"/>
        <v>899999.94</v>
      </c>
      <c r="AE469" s="32">
        <f t="shared" si="207"/>
        <v>120000</v>
      </c>
      <c r="AF469" s="77" t="s">
        <v>801</v>
      </c>
      <c r="AG469" s="77" t="s">
        <v>801</v>
      </c>
      <c r="AH469" s="107" t="s">
        <v>801</v>
      </c>
      <c r="AT469" s="21" t="e">
        <f>VLOOKUP(C469,AW:AX,2,FALSE)</f>
        <v>#N/A</v>
      </c>
    </row>
    <row r="470" spans="1:46" ht="61.5" x14ac:dyDescent="0.85">
      <c r="A470" s="21">
        <v>1</v>
      </c>
      <c r="B470" s="70">
        <f>SUBTOTAL(103,$A$22:A470)</f>
        <v>400</v>
      </c>
      <c r="C470" s="25" t="s">
        <v>139</v>
      </c>
      <c r="D470" s="32">
        <f t="shared" ref="D470:D477" si="208">E470+F470+G470+H470+I470+J470+L470+N470+P470+R470+T470+U470+V470+W470+X470+Y470+Z470+AA470+AB470+AC470+AD470+AE470</f>
        <v>6331416.2400000002</v>
      </c>
      <c r="E470" s="32">
        <v>0</v>
      </c>
      <c r="F470" s="32">
        <v>0</v>
      </c>
      <c r="G470" s="32">
        <v>0</v>
      </c>
      <c r="H470" s="32">
        <v>0</v>
      </c>
      <c r="I470" s="32">
        <v>0</v>
      </c>
      <c r="J470" s="32">
        <v>0</v>
      </c>
      <c r="K470" s="34">
        <v>0</v>
      </c>
      <c r="L470" s="32">
        <v>0</v>
      </c>
      <c r="M470" s="32">
        <v>1305</v>
      </c>
      <c r="N470" s="32">
        <v>6060508.6699999999</v>
      </c>
      <c r="O470" s="32">
        <v>0</v>
      </c>
      <c r="P470" s="32">
        <v>0</v>
      </c>
      <c r="Q470" s="32">
        <v>0</v>
      </c>
      <c r="R470" s="32">
        <v>0</v>
      </c>
      <c r="S470" s="32">
        <v>0</v>
      </c>
      <c r="T470" s="32">
        <v>0</v>
      </c>
      <c r="U470" s="32">
        <v>0</v>
      </c>
      <c r="V470" s="32">
        <v>0</v>
      </c>
      <c r="W470" s="32">
        <v>0</v>
      </c>
      <c r="X470" s="32">
        <v>0</v>
      </c>
      <c r="Y470" s="32">
        <v>0</v>
      </c>
      <c r="Z470" s="32">
        <v>0</v>
      </c>
      <c r="AA470" s="32">
        <v>0</v>
      </c>
      <c r="AB470" s="32">
        <v>0</v>
      </c>
      <c r="AC470" s="32">
        <f t="shared" ref="AC470:AC475" si="209">ROUND(N470*1.5%,2)</f>
        <v>90907.63</v>
      </c>
      <c r="AD470" s="32">
        <f>180000-0.01-0.05</f>
        <v>179999.94</v>
      </c>
      <c r="AE470" s="32">
        <v>0</v>
      </c>
      <c r="AF470" s="35">
        <v>2020</v>
      </c>
      <c r="AG470" s="35">
        <v>2020</v>
      </c>
      <c r="AH470" s="36">
        <v>2020</v>
      </c>
      <c r="AT470" s="21" t="e">
        <f>VLOOKUP(C470,AW:AX,2,FALSE)</f>
        <v>#N/A</v>
      </c>
    </row>
    <row r="471" spans="1:46" ht="61.5" x14ac:dyDescent="0.85">
      <c r="A471" s="21">
        <v>1</v>
      </c>
      <c r="B471" s="70">
        <f>SUBTOTAL(103,$A$22:A471)</f>
        <v>401</v>
      </c>
      <c r="C471" s="25" t="s">
        <v>141</v>
      </c>
      <c r="D471" s="32">
        <f t="shared" si="208"/>
        <v>2412628.25</v>
      </c>
      <c r="E471" s="32">
        <v>0</v>
      </c>
      <c r="F471" s="32">
        <v>0</v>
      </c>
      <c r="G471" s="32">
        <v>0</v>
      </c>
      <c r="H471" s="32">
        <v>0</v>
      </c>
      <c r="I471" s="32">
        <v>0</v>
      </c>
      <c r="J471" s="32">
        <v>0</v>
      </c>
      <c r="K471" s="34">
        <v>0</v>
      </c>
      <c r="L471" s="32">
        <v>0</v>
      </c>
      <c r="M471" s="32">
        <v>462.03</v>
      </c>
      <c r="N471" s="32">
        <v>2258747.04</v>
      </c>
      <c r="O471" s="32">
        <v>0</v>
      </c>
      <c r="P471" s="32">
        <v>0</v>
      </c>
      <c r="Q471" s="32">
        <v>0</v>
      </c>
      <c r="R471" s="32">
        <v>0</v>
      </c>
      <c r="S471" s="32">
        <v>0</v>
      </c>
      <c r="T471" s="32">
        <v>0</v>
      </c>
      <c r="U471" s="32">
        <v>0</v>
      </c>
      <c r="V471" s="32">
        <v>0</v>
      </c>
      <c r="W471" s="32">
        <v>0</v>
      </c>
      <c r="X471" s="32">
        <v>0</v>
      </c>
      <c r="Y471" s="32">
        <v>0</v>
      </c>
      <c r="Z471" s="32">
        <v>0</v>
      </c>
      <c r="AA471" s="32">
        <v>0</v>
      </c>
      <c r="AB471" s="32">
        <v>0</v>
      </c>
      <c r="AC471" s="32">
        <f t="shared" si="209"/>
        <v>33881.21</v>
      </c>
      <c r="AD471" s="32">
        <v>120000</v>
      </c>
      <c r="AE471" s="32">
        <v>0</v>
      </c>
      <c r="AF471" s="35">
        <v>2020</v>
      </c>
      <c r="AG471" s="35">
        <v>2020</v>
      </c>
      <c r="AH471" s="36">
        <v>2020</v>
      </c>
      <c r="AT471" s="21" t="e">
        <f>VLOOKUP(C471,AW:AX,2,FALSE)</f>
        <v>#N/A</v>
      </c>
    </row>
    <row r="472" spans="1:46" ht="61.5" x14ac:dyDescent="0.85">
      <c r="A472" s="21">
        <v>1</v>
      </c>
      <c r="B472" s="70">
        <f>SUBTOTAL(103,$A$22:A472)</f>
        <v>402</v>
      </c>
      <c r="C472" s="25" t="s">
        <v>150</v>
      </c>
      <c r="D472" s="32">
        <f t="shared" si="208"/>
        <v>8689284.0800000001</v>
      </c>
      <c r="E472" s="32">
        <v>0</v>
      </c>
      <c r="F472" s="32">
        <v>0</v>
      </c>
      <c r="G472" s="32">
        <v>0</v>
      </c>
      <c r="H472" s="32">
        <v>0</v>
      </c>
      <c r="I472" s="32">
        <v>0</v>
      </c>
      <c r="J472" s="32">
        <v>0</v>
      </c>
      <c r="K472" s="34">
        <v>0</v>
      </c>
      <c r="L472" s="32">
        <v>0</v>
      </c>
      <c r="M472" s="32">
        <v>1664.04</v>
      </c>
      <c r="N472" s="32">
        <v>8383531.1100000003</v>
      </c>
      <c r="O472" s="32">
        <v>0</v>
      </c>
      <c r="P472" s="32">
        <v>0</v>
      </c>
      <c r="Q472" s="32">
        <v>0</v>
      </c>
      <c r="R472" s="32">
        <v>0</v>
      </c>
      <c r="S472" s="32">
        <v>0</v>
      </c>
      <c r="T472" s="32">
        <v>0</v>
      </c>
      <c r="U472" s="32">
        <v>0</v>
      </c>
      <c r="V472" s="32">
        <v>0</v>
      </c>
      <c r="W472" s="32">
        <v>0</v>
      </c>
      <c r="X472" s="32">
        <v>0</v>
      </c>
      <c r="Y472" s="32">
        <v>0</v>
      </c>
      <c r="Z472" s="32">
        <v>0</v>
      </c>
      <c r="AA472" s="32">
        <v>0</v>
      </c>
      <c r="AB472" s="32">
        <v>0</v>
      </c>
      <c r="AC472" s="32">
        <f t="shared" si="209"/>
        <v>125752.97</v>
      </c>
      <c r="AD472" s="32">
        <v>180000</v>
      </c>
      <c r="AE472" s="32">
        <v>0</v>
      </c>
      <c r="AF472" s="35">
        <v>2020</v>
      </c>
      <c r="AG472" s="35">
        <v>2020</v>
      </c>
      <c r="AH472" s="36">
        <v>2020</v>
      </c>
      <c r="AT472" s="21" t="e">
        <f>VLOOKUP(C472,AW$472:AX$472,2,FALSE)</f>
        <v>#N/A</v>
      </c>
    </row>
    <row r="473" spans="1:46" ht="61.5" x14ac:dyDescent="0.85">
      <c r="A473" s="21">
        <v>1</v>
      </c>
      <c r="B473" s="70">
        <f>SUBTOTAL(103,$A$22:A473)</f>
        <v>403</v>
      </c>
      <c r="C473" s="25" t="s">
        <v>1351</v>
      </c>
      <c r="D473" s="32">
        <f t="shared" si="208"/>
        <v>4735462.9799999995</v>
      </c>
      <c r="E473" s="32">
        <v>0</v>
      </c>
      <c r="F473" s="32">
        <v>0</v>
      </c>
      <c r="G473" s="32">
        <v>0</v>
      </c>
      <c r="H473" s="32">
        <v>0</v>
      </c>
      <c r="I473" s="32">
        <v>0</v>
      </c>
      <c r="J473" s="32">
        <v>0</v>
      </c>
      <c r="K473" s="34">
        <v>0</v>
      </c>
      <c r="L473" s="32">
        <v>0</v>
      </c>
      <c r="M473" s="32">
        <v>1105</v>
      </c>
      <c r="N473" s="32">
        <v>4517697.5199999996</v>
      </c>
      <c r="O473" s="32">
        <v>0</v>
      </c>
      <c r="P473" s="32">
        <v>0</v>
      </c>
      <c r="Q473" s="32">
        <v>0</v>
      </c>
      <c r="R473" s="32">
        <v>0</v>
      </c>
      <c r="S473" s="32">
        <v>0</v>
      </c>
      <c r="T473" s="32">
        <v>0</v>
      </c>
      <c r="U473" s="32">
        <v>0</v>
      </c>
      <c r="V473" s="32">
        <v>0</v>
      </c>
      <c r="W473" s="32">
        <v>0</v>
      </c>
      <c r="X473" s="32">
        <v>0</v>
      </c>
      <c r="Y473" s="32">
        <v>0</v>
      </c>
      <c r="Z473" s="32">
        <v>0</v>
      </c>
      <c r="AA473" s="32">
        <v>0</v>
      </c>
      <c r="AB473" s="32">
        <v>0</v>
      </c>
      <c r="AC473" s="32">
        <f t="shared" si="209"/>
        <v>67765.460000000006</v>
      </c>
      <c r="AD473" s="32">
        <v>30000</v>
      </c>
      <c r="AE473" s="32">
        <v>120000</v>
      </c>
      <c r="AF473" s="35">
        <v>2020</v>
      </c>
      <c r="AG473" s="35">
        <v>2020</v>
      </c>
      <c r="AH473" s="36">
        <v>2020</v>
      </c>
    </row>
    <row r="474" spans="1:46" ht="61.5" x14ac:dyDescent="0.85">
      <c r="A474" s="21">
        <v>1</v>
      </c>
      <c r="B474" s="70">
        <f>SUBTOTAL(103,$A$22:A474)</f>
        <v>404</v>
      </c>
      <c r="C474" s="25" t="s">
        <v>1352</v>
      </c>
      <c r="D474" s="32">
        <f t="shared" si="208"/>
        <v>4455121.7300000004</v>
      </c>
      <c r="E474" s="32">
        <v>0</v>
      </c>
      <c r="F474" s="32">
        <v>0</v>
      </c>
      <c r="G474" s="32">
        <v>0</v>
      </c>
      <c r="H474" s="32">
        <v>0</v>
      </c>
      <c r="I474" s="32">
        <v>0</v>
      </c>
      <c r="J474" s="32">
        <v>0</v>
      </c>
      <c r="K474" s="34">
        <v>0</v>
      </c>
      <c r="L474" s="32">
        <v>0</v>
      </c>
      <c r="M474" s="32">
        <v>859</v>
      </c>
      <c r="N474" s="32">
        <v>4389282.49</v>
      </c>
      <c r="O474" s="32">
        <v>0</v>
      </c>
      <c r="P474" s="32">
        <v>0</v>
      </c>
      <c r="Q474" s="32">
        <v>0</v>
      </c>
      <c r="R474" s="32">
        <v>0</v>
      </c>
      <c r="S474" s="32">
        <v>0</v>
      </c>
      <c r="T474" s="32">
        <v>0</v>
      </c>
      <c r="U474" s="32">
        <v>0</v>
      </c>
      <c r="V474" s="32">
        <v>0</v>
      </c>
      <c r="W474" s="32">
        <v>0</v>
      </c>
      <c r="X474" s="32">
        <v>0</v>
      </c>
      <c r="Y474" s="32">
        <v>0</v>
      </c>
      <c r="Z474" s="32">
        <v>0</v>
      </c>
      <c r="AA474" s="32">
        <v>0</v>
      </c>
      <c r="AB474" s="32">
        <v>0</v>
      </c>
      <c r="AC474" s="32">
        <f t="shared" si="209"/>
        <v>65839.240000000005</v>
      </c>
      <c r="AD474" s="32">
        <v>0</v>
      </c>
      <c r="AE474" s="32">
        <v>0</v>
      </c>
      <c r="AF474" s="35" t="s">
        <v>275</v>
      </c>
      <c r="AG474" s="35">
        <v>2020</v>
      </c>
      <c r="AH474" s="36">
        <v>2020</v>
      </c>
    </row>
    <row r="475" spans="1:46" ht="61.5" x14ac:dyDescent="0.85">
      <c r="A475" s="21">
        <v>1</v>
      </c>
      <c r="B475" s="70">
        <f>SUBTOTAL(103,$A$22:A475)</f>
        <v>405</v>
      </c>
      <c r="C475" s="25" t="s">
        <v>1353</v>
      </c>
      <c r="D475" s="32">
        <f t="shared" si="208"/>
        <v>7152134.6299999999</v>
      </c>
      <c r="E475" s="32">
        <v>0</v>
      </c>
      <c r="F475" s="32">
        <v>0</v>
      </c>
      <c r="G475" s="32">
        <v>0</v>
      </c>
      <c r="H475" s="32">
        <v>0</v>
      </c>
      <c r="I475" s="32">
        <v>0</v>
      </c>
      <c r="J475" s="32">
        <v>0</v>
      </c>
      <c r="K475" s="34">
        <v>0</v>
      </c>
      <c r="L475" s="32">
        <v>0</v>
      </c>
      <c r="M475" s="32">
        <v>1580.66</v>
      </c>
      <c r="N475" s="32">
        <v>6898654.8099999996</v>
      </c>
      <c r="O475" s="32">
        <v>0</v>
      </c>
      <c r="P475" s="32">
        <v>0</v>
      </c>
      <c r="Q475" s="32">
        <v>0</v>
      </c>
      <c r="R475" s="32">
        <v>0</v>
      </c>
      <c r="S475" s="32">
        <v>0</v>
      </c>
      <c r="T475" s="32">
        <v>0</v>
      </c>
      <c r="U475" s="32">
        <v>0</v>
      </c>
      <c r="V475" s="32">
        <v>0</v>
      </c>
      <c r="W475" s="32">
        <v>0</v>
      </c>
      <c r="X475" s="32">
        <v>0</v>
      </c>
      <c r="Y475" s="32">
        <v>0</v>
      </c>
      <c r="Z475" s="32">
        <v>0</v>
      </c>
      <c r="AA475" s="32">
        <v>0</v>
      </c>
      <c r="AB475" s="32">
        <v>0</v>
      </c>
      <c r="AC475" s="32">
        <f t="shared" si="209"/>
        <v>103479.82</v>
      </c>
      <c r="AD475" s="32">
        <v>150000</v>
      </c>
      <c r="AE475" s="32">
        <v>0</v>
      </c>
      <c r="AF475" s="35">
        <v>2020</v>
      </c>
      <c r="AG475" s="35">
        <v>2020</v>
      </c>
      <c r="AH475" s="36">
        <v>2020</v>
      </c>
    </row>
    <row r="476" spans="1:46" ht="61.5" x14ac:dyDescent="0.85">
      <c r="A476" s="21">
        <v>1</v>
      </c>
      <c r="B476" s="70">
        <f>SUBTOTAL(103,$A$22:A476)</f>
        <v>406</v>
      </c>
      <c r="C476" s="25" t="s">
        <v>171</v>
      </c>
      <c r="D476" s="32">
        <f t="shared" si="208"/>
        <v>646262.4</v>
      </c>
      <c r="E476" s="32">
        <v>0</v>
      </c>
      <c r="F476" s="32">
        <v>0</v>
      </c>
      <c r="G476" s="32">
        <v>0</v>
      </c>
      <c r="H476" s="32">
        <v>0</v>
      </c>
      <c r="I476" s="32">
        <v>0</v>
      </c>
      <c r="J476" s="32">
        <v>0</v>
      </c>
      <c r="K476" s="34">
        <v>0</v>
      </c>
      <c r="L476" s="32">
        <v>0</v>
      </c>
      <c r="M476" s="32">
        <v>0</v>
      </c>
      <c r="N476" s="32">
        <v>0</v>
      </c>
      <c r="O476" s="32">
        <v>192</v>
      </c>
      <c r="P476" s="32">
        <v>518485.12</v>
      </c>
      <c r="Q476" s="32">
        <v>0</v>
      </c>
      <c r="R476" s="32">
        <v>0</v>
      </c>
      <c r="S476" s="32">
        <v>0</v>
      </c>
      <c r="T476" s="32">
        <v>0</v>
      </c>
      <c r="U476" s="32">
        <v>0</v>
      </c>
      <c r="V476" s="32">
        <v>0</v>
      </c>
      <c r="W476" s="32">
        <v>0</v>
      </c>
      <c r="X476" s="32">
        <v>0</v>
      </c>
      <c r="Y476" s="32">
        <v>0</v>
      </c>
      <c r="Z476" s="32">
        <v>0</v>
      </c>
      <c r="AA476" s="32">
        <v>0</v>
      </c>
      <c r="AB476" s="32">
        <v>0</v>
      </c>
      <c r="AC476" s="32">
        <f>ROUND(P476*1.5%,2)</f>
        <v>7777.28</v>
      </c>
      <c r="AD476" s="32">
        <v>120000</v>
      </c>
      <c r="AE476" s="32">
        <v>0</v>
      </c>
      <c r="AF476" s="35">
        <v>2020</v>
      </c>
      <c r="AG476" s="35">
        <v>2020</v>
      </c>
      <c r="AH476" s="36">
        <v>2020</v>
      </c>
      <c r="AT476" s="21" t="e">
        <f>VLOOKUP(C476,AW:AX,2,FALSE)</f>
        <v>#N/A</v>
      </c>
    </row>
    <row r="477" spans="1:46" ht="61.5" x14ac:dyDescent="0.85">
      <c r="A477" s="21">
        <v>1</v>
      </c>
      <c r="B477" s="70">
        <f>SUBTOTAL(103,$A$22:A477)</f>
        <v>407</v>
      </c>
      <c r="C477" s="25" t="s">
        <v>1378</v>
      </c>
      <c r="D477" s="32">
        <f t="shared" si="208"/>
        <v>4025890.71</v>
      </c>
      <c r="E477" s="32">
        <v>0</v>
      </c>
      <c r="F477" s="32">
        <v>0</v>
      </c>
      <c r="G477" s="32">
        <f>3966394.79-118226.6</f>
        <v>3848168.19</v>
      </c>
      <c r="H477" s="32">
        <v>0</v>
      </c>
      <c r="I477" s="32">
        <v>0</v>
      </c>
      <c r="J477" s="32">
        <v>0</v>
      </c>
      <c r="K477" s="34">
        <v>0</v>
      </c>
      <c r="L477" s="32">
        <v>0</v>
      </c>
      <c r="M477" s="112">
        <v>0</v>
      </c>
      <c r="N477" s="112">
        <v>0</v>
      </c>
      <c r="O477" s="32">
        <v>0</v>
      </c>
      <c r="P477" s="32">
        <v>0</v>
      </c>
      <c r="Q477" s="32">
        <v>0</v>
      </c>
      <c r="R477" s="32">
        <v>0</v>
      </c>
      <c r="S477" s="32">
        <v>0</v>
      </c>
      <c r="T477" s="32">
        <v>0</v>
      </c>
      <c r="U477" s="32">
        <v>0</v>
      </c>
      <c r="V477" s="32">
        <v>0</v>
      </c>
      <c r="W477" s="32">
        <v>0</v>
      </c>
      <c r="X477" s="32">
        <v>0</v>
      </c>
      <c r="Y477" s="32">
        <v>0</v>
      </c>
      <c r="Z477" s="32">
        <v>0</v>
      </c>
      <c r="AA477" s="32">
        <v>0</v>
      </c>
      <c r="AB477" s="32">
        <v>0</v>
      </c>
      <c r="AC477" s="32">
        <f t="shared" ref="AC477" si="210">ROUND((E477+F477+G477+H477+I477+J477)*1.5%,2)</f>
        <v>57722.52</v>
      </c>
      <c r="AD477" s="32">
        <v>120000</v>
      </c>
      <c r="AE477" s="32">
        <v>0</v>
      </c>
      <c r="AF477" s="35">
        <v>2020</v>
      </c>
      <c r="AG477" s="35">
        <v>2020</v>
      </c>
      <c r="AH477" s="36">
        <v>2020</v>
      </c>
    </row>
    <row r="478" spans="1:46" ht="61.5" x14ac:dyDescent="0.85">
      <c r="B478" s="25" t="s">
        <v>1348</v>
      </c>
      <c r="C478" s="25"/>
      <c r="D478" s="32">
        <f>D479+D480</f>
        <v>3578286.6899999995</v>
      </c>
      <c r="E478" s="32">
        <f t="shared" ref="E478:AE478" si="211">E479+E480</f>
        <v>0</v>
      </c>
      <c r="F478" s="32">
        <f t="shared" si="211"/>
        <v>0</v>
      </c>
      <c r="G478" s="32">
        <f t="shared" si="211"/>
        <v>0</v>
      </c>
      <c r="H478" s="32">
        <f t="shared" si="211"/>
        <v>0</v>
      </c>
      <c r="I478" s="32">
        <f t="shared" si="211"/>
        <v>0</v>
      </c>
      <c r="J478" s="32">
        <f t="shared" si="211"/>
        <v>0</v>
      </c>
      <c r="K478" s="34">
        <f t="shared" si="211"/>
        <v>0</v>
      </c>
      <c r="L478" s="32">
        <f t="shared" si="211"/>
        <v>0</v>
      </c>
      <c r="M478" s="32">
        <f t="shared" si="211"/>
        <v>888.86</v>
      </c>
      <c r="N478" s="32">
        <f t="shared" si="211"/>
        <v>3525405.5999999996</v>
      </c>
      <c r="O478" s="32">
        <f t="shared" si="211"/>
        <v>0</v>
      </c>
      <c r="P478" s="32">
        <f t="shared" si="211"/>
        <v>0</v>
      </c>
      <c r="Q478" s="32">
        <f t="shared" si="211"/>
        <v>0</v>
      </c>
      <c r="R478" s="32">
        <f t="shared" si="211"/>
        <v>0</v>
      </c>
      <c r="S478" s="32">
        <f t="shared" si="211"/>
        <v>0</v>
      </c>
      <c r="T478" s="32">
        <f t="shared" si="211"/>
        <v>0</v>
      </c>
      <c r="U478" s="32">
        <f t="shared" si="211"/>
        <v>0</v>
      </c>
      <c r="V478" s="32">
        <f t="shared" si="211"/>
        <v>0</v>
      </c>
      <c r="W478" s="32">
        <f t="shared" si="211"/>
        <v>0</v>
      </c>
      <c r="X478" s="32">
        <f t="shared" si="211"/>
        <v>0</v>
      </c>
      <c r="Y478" s="32">
        <f t="shared" si="211"/>
        <v>0</v>
      </c>
      <c r="Z478" s="32">
        <f t="shared" si="211"/>
        <v>0</v>
      </c>
      <c r="AA478" s="32">
        <f t="shared" si="211"/>
        <v>0</v>
      </c>
      <c r="AB478" s="32">
        <f t="shared" si="211"/>
        <v>0</v>
      </c>
      <c r="AC478" s="32">
        <f t="shared" si="211"/>
        <v>52881.09</v>
      </c>
      <c r="AD478" s="32">
        <f t="shared" si="211"/>
        <v>0</v>
      </c>
      <c r="AE478" s="32">
        <f t="shared" si="211"/>
        <v>0</v>
      </c>
      <c r="AF478" s="77" t="s">
        <v>801</v>
      </c>
      <c r="AG478" s="77" t="s">
        <v>801</v>
      </c>
      <c r="AH478" s="107" t="s">
        <v>801</v>
      </c>
    </row>
    <row r="479" spans="1:46" ht="61.5" x14ac:dyDescent="0.85">
      <c r="A479" s="21">
        <v>1</v>
      </c>
      <c r="B479" s="70">
        <f>SUBTOTAL(103,$A$22:A479)</f>
        <v>408</v>
      </c>
      <c r="C479" s="25" t="s">
        <v>1349</v>
      </c>
      <c r="D479" s="32">
        <f t="shared" ref="D479:D482" si="212">E479+F479+G479+H479+I479+J479+L479+N479+P479+R479+T479+U479+V479+W479+X479+Y479+Z479+AA479+AB479+AC479+AD479+AE479</f>
        <v>1799081.8099999998</v>
      </c>
      <c r="E479" s="32">
        <v>0</v>
      </c>
      <c r="F479" s="32">
        <v>0</v>
      </c>
      <c r="G479" s="32">
        <v>0</v>
      </c>
      <c r="H479" s="32">
        <v>0</v>
      </c>
      <c r="I479" s="32">
        <v>0</v>
      </c>
      <c r="J479" s="32">
        <v>0</v>
      </c>
      <c r="K479" s="34">
        <v>0</v>
      </c>
      <c r="L479" s="32">
        <v>0</v>
      </c>
      <c r="M479" s="32">
        <v>467.74</v>
      </c>
      <c r="N479" s="32">
        <v>1772494.39</v>
      </c>
      <c r="O479" s="32">
        <v>0</v>
      </c>
      <c r="P479" s="32">
        <v>0</v>
      </c>
      <c r="Q479" s="32">
        <v>0</v>
      </c>
      <c r="R479" s="32">
        <v>0</v>
      </c>
      <c r="S479" s="32">
        <v>0</v>
      </c>
      <c r="T479" s="32">
        <v>0</v>
      </c>
      <c r="U479" s="32">
        <v>0</v>
      </c>
      <c r="V479" s="32">
        <v>0</v>
      </c>
      <c r="W479" s="32">
        <v>0</v>
      </c>
      <c r="X479" s="32">
        <v>0</v>
      </c>
      <c r="Y479" s="32">
        <v>0</v>
      </c>
      <c r="Z479" s="32">
        <v>0</v>
      </c>
      <c r="AA479" s="32">
        <v>0</v>
      </c>
      <c r="AB479" s="32">
        <v>0</v>
      </c>
      <c r="AC479" s="32">
        <f t="shared" ref="AC479:AC480" si="213">ROUND(N479*1.5%,2)</f>
        <v>26587.42</v>
      </c>
      <c r="AD479" s="32">
        <v>0</v>
      </c>
      <c r="AE479" s="32">
        <v>0</v>
      </c>
      <c r="AF479" s="35" t="s">
        <v>275</v>
      </c>
      <c r="AG479" s="35">
        <v>2020</v>
      </c>
      <c r="AH479" s="36">
        <v>2020</v>
      </c>
    </row>
    <row r="480" spans="1:46" ht="61.5" x14ac:dyDescent="0.85">
      <c r="A480" s="21">
        <v>1</v>
      </c>
      <c r="B480" s="70">
        <f>SUBTOTAL(103,$A$22:A480)</f>
        <v>409</v>
      </c>
      <c r="C480" s="25" t="s">
        <v>1350</v>
      </c>
      <c r="D480" s="32">
        <f t="shared" si="212"/>
        <v>1779204.88</v>
      </c>
      <c r="E480" s="32">
        <v>0</v>
      </c>
      <c r="F480" s="32">
        <v>0</v>
      </c>
      <c r="G480" s="32">
        <v>0</v>
      </c>
      <c r="H480" s="32">
        <v>0</v>
      </c>
      <c r="I480" s="32">
        <v>0</v>
      </c>
      <c r="J480" s="32">
        <v>0</v>
      </c>
      <c r="K480" s="34">
        <v>0</v>
      </c>
      <c r="L480" s="32">
        <v>0</v>
      </c>
      <c r="M480" s="32">
        <v>421.12</v>
      </c>
      <c r="N480" s="32">
        <f>1744635.53+8275.68</f>
        <v>1752911.21</v>
      </c>
      <c r="O480" s="32">
        <v>0</v>
      </c>
      <c r="P480" s="32">
        <v>0</v>
      </c>
      <c r="Q480" s="32">
        <v>0</v>
      </c>
      <c r="R480" s="32">
        <v>0</v>
      </c>
      <c r="S480" s="32">
        <v>0</v>
      </c>
      <c r="T480" s="32">
        <v>0</v>
      </c>
      <c r="U480" s="32">
        <v>0</v>
      </c>
      <c r="V480" s="32">
        <v>0</v>
      </c>
      <c r="W480" s="32">
        <v>0</v>
      </c>
      <c r="X480" s="32">
        <v>0</v>
      </c>
      <c r="Y480" s="32">
        <v>0</v>
      </c>
      <c r="Z480" s="32">
        <v>0</v>
      </c>
      <c r="AA480" s="32">
        <v>0</v>
      </c>
      <c r="AB480" s="32">
        <v>0</v>
      </c>
      <c r="AC480" s="32">
        <f t="shared" si="213"/>
        <v>26293.67</v>
      </c>
      <c r="AD480" s="32">
        <v>0</v>
      </c>
      <c r="AE480" s="32">
        <v>0</v>
      </c>
      <c r="AF480" s="35" t="s">
        <v>275</v>
      </c>
      <c r="AG480" s="35">
        <v>2020</v>
      </c>
      <c r="AH480" s="36">
        <v>2020</v>
      </c>
    </row>
    <row r="481" spans="1:83" ht="61.5" x14ac:dyDescent="0.85">
      <c r="B481" s="25" t="s">
        <v>1123</v>
      </c>
      <c r="C481" s="25"/>
      <c r="D481" s="32">
        <f>D482</f>
        <v>467593.97</v>
      </c>
      <c r="E481" s="32">
        <f t="shared" ref="E481:AE481" si="214">E482</f>
        <v>0</v>
      </c>
      <c r="F481" s="32">
        <f t="shared" si="214"/>
        <v>0</v>
      </c>
      <c r="G481" s="32">
        <f t="shared" si="214"/>
        <v>0</v>
      </c>
      <c r="H481" s="32">
        <f t="shared" si="214"/>
        <v>0</v>
      </c>
      <c r="I481" s="32">
        <f t="shared" si="214"/>
        <v>0</v>
      </c>
      <c r="J481" s="32">
        <f t="shared" si="214"/>
        <v>0</v>
      </c>
      <c r="K481" s="34">
        <f t="shared" si="214"/>
        <v>0</v>
      </c>
      <c r="L481" s="32">
        <f t="shared" si="214"/>
        <v>0</v>
      </c>
      <c r="M481" s="32">
        <f t="shared" si="214"/>
        <v>0</v>
      </c>
      <c r="N481" s="32">
        <f t="shared" si="214"/>
        <v>0</v>
      </c>
      <c r="O481" s="32">
        <f t="shared" si="214"/>
        <v>0</v>
      </c>
      <c r="P481" s="32">
        <f t="shared" si="214"/>
        <v>0</v>
      </c>
      <c r="Q481" s="32">
        <f t="shared" si="214"/>
        <v>119.3</v>
      </c>
      <c r="R481" s="32">
        <f t="shared" si="214"/>
        <v>362161.55</v>
      </c>
      <c r="S481" s="32">
        <f t="shared" si="214"/>
        <v>0</v>
      </c>
      <c r="T481" s="32">
        <f t="shared" si="214"/>
        <v>0</v>
      </c>
      <c r="U481" s="32">
        <f t="shared" si="214"/>
        <v>0</v>
      </c>
      <c r="V481" s="32">
        <f t="shared" si="214"/>
        <v>0</v>
      </c>
      <c r="W481" s="32">
        <f t="shared" si="214"/>
        <v>0</v>
      </c>
      <c r="X481" s="32">
        <f t="shared" si="214"/>
        <v>0</v>
      </c>
      <c r="Y481" s="32">
        <f t="shared" si="214"/>
        <v>0</v>
      </c>
      <c r="Z481" s="32">
        <f t="shared" si="214"/>
        <v>0</v>
      </c>
      <c r="AA481" s="32">
        <f t="shared" si="214"/>
        <v>0</v>
      </c>
      <c r="AB481" s="32">
        <f t="shared" si="214"/>
        <v>0</v>
      </c>
      <c r="AC481" s="32">
        <f t="shared" si="214"/>
        <v>5432.42</v>
      </c>
      <c r="AD481" s="32">
        <f t="shared" si="214"/>
        <v>100000</v>
      </c>
      <c r="AE481" s="32">
        <f t="shared" si="214"/>
        <v>0</v>
      </c>
      <c r="AF481" s="77" t="s">
        <v>801</v>
      </c>
      <c r="AG481" s="77" t="s">
        <v>801</v>
      </c>
      <c r="AH481" s="107" t="s">
        <v>801</v>
      </c>
    </row>
    <row r="482" spans="1:83" ht="61.5" x14ac:dyDescent="0.85">
      <c r="A482" s="21">
        <v>1</v>
      </c>
      <c r="B482" s="70">
        <f>SUBTOTAL(103,$A$22:A482)</f>
        <v>410</v>
      </c>
      <c r="C482" s="25" t="s">
        <v>1111</v>
      </c>
      <c r="D482" s="32">
        <f t="shared" si="212"/>
        <v>467593.97</v>
      </c>
      <c r="E482" s="32">
        <v>0</v>
      </c>
      <c r="F482" s="32">
        <v>0</v>
      </c>
      <c r="G482" s="32">
        <v>0</v>
      </c>
      <c r="H482" s="32">
        <v>0</v>
      </c>
      <c r="I482" s="32">
        <v>0</v>
      </c>
      <c r="J482" s="32">
        <v>0</v>
      </c>
      <c r="K482" s="34">
        <v>0</v>
      </c>
      <c r="L482" s="32">
        <v>0</v>
      </c>
      <c r="M482" s="32">
        <v>0</v>
      </c>
      <c r="N482" s="32">
        <v>0</v>
      </c>
      <c r="O482" s="32">
        <v>0</v>
      </c>
      <c r="P482" s="32">
        <v>0</v>
      </c>
      <c r="Q482" s="32">
        <v>119.3</v>
      </c>
      <c r="R482" s="32">
        <v>362161.55</v>
      </c>
      <c r="S482" s="32">
        <v>0</v>
      </c>
      <c r="T482" s="32">
        <v>0</v>
      </c>
      <c r="U482" s="32">
        <v>0</v>
      </c>
      <c r="V482" s="32">
        <v>0</v>
      </c>
      <c r="W482" s="32">
        <v>0</v>
      </c>
      <c r="X482" s="32">
        <v>0</v>
      </c>
      <c r="Y482" s="32">
        <v>0</v>
      </c>
      <c r="Z482" s="32">
        <v>0</v>
      </c>
      <c r="AA482" s="32">
        <v>0</v>
      </c>
      <c r="AB482" s="32">
        <v>0</v>
      </c>
      <c r="AC482" s="32">
        <f>ROUND(R482*1.5%,2)</f>
        <v>5432.42</v>
      </c>
      <c r="AD482" s="32">
        <v>100000</v>
      </c>
      <c r="AE482" s="32">
        <v>0</v>
      </c>
      <c r="AF482" s="35">
        <v>2020</v>
      </c>
      <c r="AG482" s="35">
        <v>2020</v>
      </c>
      <c r="AH482" s="36">
        <v>2020</v>
      </c>
    </row>
    <row r="483" spans="1:83" ht="61.5" x14ac:dyDescent="0.85">
      <c r="B483" s="25" t="s">
        <v>906</v>
      </c>
      <c r="C483" s="110"/>
      <c r="D483" s="32">
        <f>SUM(D484:D488)</f>
        <v>10960961.029999999</v>
      </c>
      <c r="E483" s="32">
        <f t="shared" ref="E483:AE483" si="215">SUM(E484:E488)</f>
        <v>0</v>
      </c>
      <c r="F483" s="32">
        <f t="shared" si="215"/>
        <v>0</v>
      </c>
      <c r="G483" s="32">
        <f t="shared" si="215"/>
        <v>0</v>
      </c>
      <c r="H483" s="32">
        <f t="shared" si="215"/>
        <v>0</v>
      </c>
      <c r="I483" s="32">
        <f t="shared" si="215"/>
        <v>0</v>
      </c>
      <c r="J483" s="32">
        <f t="shared" si="215"/>
        <v>0</v>
      </c>
      <c r="K483" s="34">
        <f t="shared" si="215"/>
        <v>0</v>
      </c>
      <c r="L483" s="32">
        <f t="shared" si="215"/>
        <v>0</v>
      </c>
      <c r="M483" s="32">
        <f t="shared" si="215"/>
        <v>1385.4</v>
      </c>
      <c r="N483" s="32">
        <f t="shared" si="215"/>
        <v>5721480.1799999997</v>
      </c>
      <c r="O483" s="32">
        <f t="shared" si="215"/>
        <v>0</v>
      </c>
      <c r="P483" s="32">
        <f t="shared" si="215"/>
        <v>0</v>
      </c>
      <c r="Q483" s="32">
        <f t="shared" si="215"/>
        <v>1309.95</v>
      </c>
      <c r="R483" s="32">
        <f t="shared" si="215"/>
        <v>4870510.96</v>
      </c>
      <c r="S483" s="32">
        <f t="shared" si="215"/>
        <v>0</v>
      </c>
      <c r="T483" s="32">
        <f t="shared" si="215"/>
        <v>0</v>
      </c>
      <c r="U483" s="32">
        <f t="shared" si="215"/>
        <v>0</v>
      </c>
      <c r="V483" s="32">
        <f t="shared" si="215"/>
        <v>0</v>
      </c>
      <c r="W483" s="32">
        <f t="shared" si="215"/>
        <v>0</v>
      </c>
      <c r="X483" s="32">
        <f t="shared" si="215"/>
        <v>0</v>
      </c>
      <c r="Y483" s="32">
        <f t="shared" si="215"/>
        <v>0</v>
      </c>
      <c r="Z483" s="32">
        <f t="shared" si="215"/>
        <v>0</v>
      </c>
      <c r="AA483" s="32">
        <f t="shared" si="215"/>
        <v>0</v>
      </c>
      <c r="AB483" s="32">
        <f t="shared" si="215"/>
        <v>0</v>
      </c>
      <c r="AC483" s="32">
        <f t="shared" si="215"/>
        <v>158879.87</v>
      </c>
      <c r="AD483" s="32">
        <f t="shared" si="215"/>
        <v>90090.02</v>
      </c>
      <c r="AE483" s="32">
        <f t="shared" si="215"/>
        <v>120000</v>
      </c>
      <c r="AF483" s="77" t="s">
        <v>801</v>
      </c>
      <c r="AG483" s="77" t="s">
        <v>801</v>
      </c>
      <c r="AH483" s="107" t="s">
        <v>801</v>
      </c>
      <c r="AT483" s="21" t="e">
        <f>VLOOKUP(C483,AW:AX,2,FALSE)</f>
        <v>#N/A</v>
      </c>
      <c r="CC483" s="32">
        <v>10960961.029999999</v>
      </c>
      <c r="CE483" s="32">
        <f>CC483-D483</f>
        <v>0</v>
      </c>
    </row>
    <row r="484" spans="1:83" ht="61.5" x14ac:dyDescent="0.85">
      <c r="A484" s="21">
        <v>1</v>
      </c>
      <c r="B484" s="70">
        <f>SUBTOTAL(103,$A$22:A484)</f>
        <v>411</v>
      </c>
      <c r="C484" s="25" t="s">
        <v>91</v>
      </c>
      <c r="D484" s="32">
        <f t="shared" ref="D484:D488" si="216">E484+F484+G484+H484+I484+J484+L484+N484+P484+R484+T484+U484+V484+W484+X484+Y484+Z484+AA484+AB484+AC484+AD484+AE484</f>
        <v>2194576.8199999998</v>
      </c>
      <c r="E484" s="32">
        <v>0</v>
      </c>
      <c r="F484" s="32">
        <v>0</v>
      </c>
      <c r="G484" s="32">
        <v>0</v>
      </c>
      <c r="H484" s="32">
        <v>0</v>
      </c>
      <c r="I484" s="32">
        <v>0</v>
      </c>
      <c r="J484" s="32">
        <v>0</v>
      </c>
      <c r="K484" s="34">
        <v>0</v>
      </c>
      <c r="L484" s="32">
        <v>0</v>
      </c>
      <c r="M484" s="32">
        <v>426</v>
      </c>
      <c r="N484" s="32">
        <v>2073386.01</v>
      </c>
      <c r="O484" s="32">
        <v>0</v>
      </c>
      <c r="P484" s="32">
        <v>0</v>
      </c>
      <c r="Q484" s="32">
        <v>0</v>
      </c>
      <c r="R484" s="32">
        <v>0</v>
      </c>
      <c r="S484" s="32">
        <v>0</v>
      </c>
      <c r="T484" s="32">
        <v>0</v>
      </c>
      <c r="U484" s="32">
        <v>0</v>
      </c>
      <c r="V484" s="32">
        <v>0</v>
      </c>
      <c r="W484" s="32">
        <v>0</v>
      </c>
      <c r="X484" s="32">
        <v>0</v>
      </c>
      <c r="Y484" s="32">
        <v>0</v>
      </c>
      <c r="Z484" s="32">
        <v>0</v>
      </c>
      <c r="AA484" s="32">
        <v>0</v>
      </c>
      <c r="AB484" s="32">
        <v>0</v>
      </c>
      <c r="AC484" s="32">
        <f>ROUND(N484*1.5%,2)</f>
        <v>31100.79</v>
      </c>
      <c r="AD484" s="32">
        <v>90090.02</v>
      </c>
      <c r="AE484" s="32">
        <v>0</v>
      </c>
      <c r="AF484" s="35">
        <v>2020</v>
      </c>
      <c r="AG484" s="35">
        <v>2020</v>
      </c>
      <c r="AH484" s="36">
        <v>2020</v>
      </c>
      <c r="AT484" s="21" t="e">
        <f>VLOOKUP(C484,AW:AX,2,FALSE)</f>
        <v>#N/A</v>
      </c>
    </row>
    <row r="485" spans="1:83" ht="61.5" x14ac:dyDescent="0.85">
      <c r="A485" s="21">
        <v>1</v>
      </c>
      <c r="B485" s="70">
        <f>SUBTOTAL(103,$A$22:A485)</f>
        <v>412</v>
      </c>
      <c r="C485" s="25" t="s">
        <v>92</v>
      </c>
      <c r="D485" s="32">
        <f t="shared" si="216"/>
        <v>2072678.6099999999</v>
      </c>
      <c r="E485" s="32">
        <v>0</v>
      </c>
      <c r="F485" s="32">
        <v>0</v>
      </c>
      <c r="G485" s="32">
        <v>0</v>
      </c>
      <c r="H485" s="32">
        <v>0</v>
      </c>
      <c r="I485" s="32">
        <v>0</v>
      </c>
      <c r="J485" s="32">
        <v>0</v>
      </c>
      <c r="K485" s="34">
        <v>0</v>
      </c>
      <c r="L485" s="32">
        <v>0</v>
      </c>
      <c r="M485" s="32">
        <v>0</v>
      </c>
      <c r="N485" s="32">
        <v>0</v>
      </c>
      <c r="O485" s="32">
        <v>0</v>
      </c>
      <c r="P485" s="32">
        <v>0</v>
      </c>
      <c r="Q485" s="32">
        <v>142.1</v>
      </c>
      <c r="R485" s="32">
        <f>2030000+12047.89</f>
        <v>2042047.89</v>
      </c>
      <c r="S485" s="32">
        <v>0</v>
      </c>
      <c r="T485" s="32">
        <v>0</v>
      </c>
      <c r="U485" s="32">
        <v>0</v>
      </c>
      <c r="V485" s="32">
        <v>0</v>
      </c>
      <c r="W485" s="32">
        <v>0</v>
      </c>
      <c r="X485" s="32">
        <v>0</v>
      </c>
      <c r="Y485" s="32">
        <v>0</v>
      </c>
      <c r="Z485" s="32">
        <v>0</v>
      </c>
      <c r="AA485" s="32">
        <v>0</v>
      </c>
      <c r="AB485" s="32">
        <v>0</v>
      </c>
      <c r="AC485" s="32">
        <f t="shared" ref="AC485:AC487" si="217">ROUND(R485*1.5%,2)</f>
        <v>30630.720000000001</v>
      </c>
      <c r="AD485" s="32">
        <v>0</v>
      </c>
      <c r="AE485" s="32">
        <v>0</v>
      </c>
      <c r="AF485" s="35" t="s">
        <v>275</v>
      </c>
      <c r="AG485" s="35">
        <v>2020</v>
      </c>
      <c r="AH485" s="36">
        <v>2020</v>
      </c>
      <c r="AT485" s="21" t="e">
        <f>VLOOKUP(C485,AW:AX,2,FALSE)</f>
        <v>#N/A</v>
      </c>
    </row>
    <row r="486" spans="1:83" ht="61.5" x14ac:dyDescent="0.85">
      <c r="A486" s="21">
        <v>1</v>
      </c>
      <c r="B486" s="70">
        <f>SUBTOTAL(103,$A$22:A486)</f>
        <v>413</v>
      </c>
      <c r="C486" s="25" t="s">
        <v>1357</v>
      </c>
      <c r="D486" s="32">
        <f t="shared" si="216"/>
        <v>1001541.0499999999</v>
      </c>
      <c r="E486" s="32">
        <v>0</v>
      </c>
      <c r="F486" s="32">
        <v>0</v>
      </c>
      <c r="G486" s="32">
        <v>0</v>
      </c>
      <c r="H486" s="32">
        <v>0</v>
      </c>
      <c r="I486" s="32">
        <v>0</v>
      </c>
      <c r="J486" s="32">
        <v>0</v>
      </c>
      <c r="K486" s="34">
        <v>0</v>
      </c>
      <c r="L486" s="32">
        <v>0</v>
      </c>
      <c r="M486" s="32">
        <v>0</v>
      </c>
      <c r="N486" s="32">
        <v>0</v>
      </c>
      <c r="O486" s="32">
        <v>0</v>
      </c>
      <c r="P486" s="32">
        <v>0</v>
      </c>
      <c r="Q486" s="32">
        <v>438.75</v>
      </c>
      <c r="R486" s="32">
        <v>986739.95</v>
      </c>
      <c r="S486" s="32">
        <v>0</v>
      </c>
      <c r="T486" s="32">
        <v>0</v>
      </c>
      <c r="U486" s="32">
        <v>0</v>
      </c>
      <c r="V486" s="32">
        <v>0</v>
      </c>
      <c r="W486" s="32">
        <v>0</v>
      </c>
      <c r="X486" s="32">
        <v>0</v>
      </c>
      <c r="Y486" s="32">
        <v>0</v>
      </c>
      <c r="Z486" s="32">
        <v>0</v>
      </c>
      <c r="AA486" s="32">
        <v>0</v>
      </c>
      <c r="AB486" s="32">
        <v>0</v>
      </c>
      <c r="AC486" s="32">
        <f t="shared" si="217"/>
        <v>14801.1</v>
      </c>
      <c r="AD486" s="32">
        <v>0</v>
      </c>
      <c r="AE486" s="32">
        <v>0</v>
      </c>
      <c r="AF486" s="35" t="s">
        <v>275</v>
      </c>
      <c r="AG486" s="35">
        <v>2020</v>
      </c>
      <c r="AH486" s="36">
        <v>2020</v>
      </c>
    </row>
    <row r="487" spans="1:83" ht="61.5" x14ac:dyDescent="0.85">
      <c r="A487" s="21">
        <v>1</v>
      </c>
      <c r="B487" s="70">
        <f>SUBTOTAL(103,$A$22:A487)</f>
        <v>414</v>
      </c>
      <c r="C487" s="25" t="s">
        <v>1358</v>
      </c>
      <c r="D487" s="32">
        <f t="shared" si="216"/>
        <v>1989348.9700000002</v>
      </c>
      <c r="E487" s="32">
        <v>0</v>
      </c>
      <c r="F487" s="32">
        <v>0</v>
      </c>
      <c r="G487" s="32">
        <v>0</v>
      </c>
      <c r="H487" s="32">
        <v>0</v>
      </c>
      <c r="I487" s="32">
        <v>0</v>
      </c>
      <c r="J487" s="32">
        <v>0</v>
      </c>
      <c r="K487" s="34">
        <v>0</v>
      </c>
      <c r="L487" s="32">
        <v>0</v>
      </c>
      <c r="M487" s="32">
        <v>0</v>
      </c>
      <c r="N487" s="32">
        <v>0</v>
      </c>
      <c r="O487" s="32">
        <v>0</v>
      </c>
      <c r="P487" s="32">
        <v>0</v>
      </c>
      <c r="Q487" s="32">
        <v>729.1</v>
      </c>
      <c r="R487" s="32">
        <v>1841723.12</v>
      </c>
      <c r="S487" s="32">
        <v>0</v>
      </c>
      <c r="T487" s="32">
        <v>0</v>
      </c>
      <c r="U487" s="32">
        <v>0</v>
      </c>
      <c r="V487" s="32">
        <v>0</v>
      </c>
      <c r="W487" s="32">
        <v>0</v>
      </c>
      <c r="X487" s="32">
        <v>0</v>
      </c>
      <c r="Y487" s="32">
        <v>0</v>
      </c>
      <c r="Z487" s="32">
        <v>0</v>
      </c>
      <c r="AA487" s="32">
        <v>0</v>
      </c>
      <c r="AB487" s="32">
        <v>0</v>
      </c>
      <c r="AC487" s="32">
        <f t="shared" si="217"/>
        <v>27625.85</v>
      </c>
      <c r="AD487" s="32">
        <v>0</v>
      </c>
      <c r="AE487" s="32">
        <v>120000</v>
      </c>
      <c r="AF487" s="35" t="s">
        <v>275</v>
      </c>
      <c r="AG487" s="35">
        <v>2020</v>
      </c>
      <c r="AH487" s="36">
        <v>2020</v>
      </c>
    </row>
    <row r="488" spans="1:83" ht="61.5" x14ac:dyDescent="0.85">
      <c r="A488" s="21">
        <v>1</v>
      </c>
      <c r="B488" s="70">
        <f>SUBTOTAL(103,$A$22:A488)</f>
        <v>415</v>
      </c>
      <c r="C488" s="25" t="s">
        <v>1359</v>
      </c>
      <c r="D488" s="32">
        <f t="shared" si="216"/>
        <v>3702815.58</v>
      </c>
      <c r="E488" s="32">
        <v>0</v>
      </c>
      <c r="F488" s="32">
        <v>0</v>
      </c>
      <c r="G488" s="32">
        <v>0</v>
      </c>
      <c r="H488" s="32">
        <v>0</v>
      </c>
      <c r="I488" s="32">
        <v>0</v>
      </c>
      <c r="J488" s="32">
        <v>0</v>
      </c>
      <c r="K488" s="34">
        <v>0</v>
      </c>
      <c r="L488" s="32">
        <v>0</v>
      </c>
      <c r="M488" s="32">
        <v>959.4</v>
      </c>
      <c r="N488" s="32">
        <v>3648094.17</v>
      </c>
      <c r="O488" s="32">
        <v>0</v>
      </c>
      <c r="P488" s="32">
        <v>0</v>
      </c>
      <c r="Q488" s="32">
        <v>0</v>
      </c>
      <c r="R488" s="32">
        <v>0</v>
      </c>
      <c r="S488" s="32">
        <v>0</v>
      </c>
      <c r="T488" s="32">
        <v>0</v>
      </c>
      <c r="U488" s="32">
        <v>0</v>
      </c>
      <c r="V488" s="32">
        <v>0</v>
      </c>
      <c r="W488" s="32">
        <v>0</v>
      </c>
      <c r="X488" s="32">
        <v>0</v>
      </c>
      <c r="Y488" s="32">
        <v>0</v>
      </c>
      <c r="Z488" s="32">
        <v>0</v>
      </c>
      <c r="AA488" s="32">
        <v>0</v>
      </c>
      <c r="AB488" s="32">
        <v>0</v>
      </c>
      <c r="AC488" s="32">
        <f>ROUND(N488*1.5%,2)</f>
        <v>54721.41</v>
      </c>
      <c r="AD488" s="32">
        <v>0</v>
      </c>
      <c r="AE488" s="32">
        <v>0</v>
      </c>
      <c r="AF488" s="35" t="s">
        <v>275</v>
      </c>
      <c r="AG488" s="35">
        <v>2020</v>
      </c>
      <c r="AH488" s="36">
        <v>2020</v>
      </c>
    </row>
    <row r="489" spans="1:83" ht="61.5" x14ac:dyDescent="0.85">
      <c r="B489" s="25" t="s">
        <v>933</v>
      </c>
      <c r="C489" s="25"/>
      <c r="D489" s="32">
        <f t="shared" ref="D489:AE489" si="218">D490</f>
        <v>3314280.82</v>
      </c>
      <c r="E489" s="32">
        <f t="shared" si="218"/>
        <v>0</v>
      </c>
      <c r="F489" s="32">
        <f t="shared" si="218"/>
        <v>0</v>
      </c>
      <c r="G489" s="32">
        <f t="shared" si="218"/>
        <v>0</v>
      </c>
      <c r="H489" s="32">
        <f t="shared" si="218"/>
        <v>0</v>
      </c>
      <c r="I489" s="32">
        <f t="shared" si="218"/>
        <v>0</v>
      </c>
      <c r="J489" s="32">
        <f t="shared" si="218"/>
        <v>0</v>
      </c>
      <c r="K489" s="34">
        <f t="shared" si="218"/>
        <v>0</v>
      </c>
      <c r="L489" s="32">
        <f t="shared" si="218"/>
        <v>0</v>
      </c>
      <c r="M489" s="32">
        <f t="shared" si="218"/>
        <v>648.6</v>
      </c>
      <c r="N489" s="32">
        <f t="shared" si="218"/>
        <v>3189024.12</v>
      </c>
      <c r="O489" s="32">
        <f t="shared" si="218"/>
        <v>0</v>
      </c>
      <c r="P489" s="32">
        <f t="shared" si="218"/>
        <v>0</v>
      </c>
      <c r="Q489" s="32">
        <f t="shared" si="218"/>
        <v>0</v>
      </c>
      <c r="R489" s="32">
        <f t="shared" si="218"/>
        <v>0</v>
      </c>
      <c r="S489" s="32">
        <f t="shared" si="218"/>
        <v>0</v>
      </c>
      <c r="T489" s="32">
        <f t="shared" si="218"/>
        <v>0</v>
      </c>
      <c r="U489" s="32">
        <f t="shared" si="218"/>
        <v>0</v>
      </c>
      <c r="V489" s="32">
        <f t="shared" si="218"/>
        <v>0</v>
      </c>
      <c r="W489" s="32">
        <f t="shared" si="218"/>
        <v>0</v>
      </c>
      <c r="X489" s="32">
        <f t="shared" si="218"/>
        <v>0</v>
      </c>
      <c r="Y489" s="32">
        <f t="shared" si="218"/>
        <v>0</v>
      </c>
      <c r="Z489" s="32">
        <f t="shared" si="218"/>
        <v>0</v>
      </c>
      <c r="AA489" s="32">
        <f t="shared" si="218"/>
        <v>0</v>
      </c>
      <c r="AB489" s="32">
        <f t="shared" si="218"/>
        <v>0</v>
      </c>
      <c r="AC489" s="32">
        <f t="shared" si="218"/>
        <v>47835.360000000001</v>
      </c>
      <c r="AD489" s="32">
        <f t="shared" si="218"/>
        <v>77421.34</v>
      </c>
      <c r="AE489" s="32">
        <f t="shared" si="218"/>
        <v>0</v>
      </c>
      <c r="AF489" s="77" t="s">
        <v>801</v>
      </c>
      <c r="AG489" s="77" t="s">
        <v>801</v>
      </c>
      <c r="AH489" s="107" t="s">
        <v>801</v>
      </c>
      <c r="AT489" s="21" t="e">
        <f t="shared" ref="AT489:AT496" si="219">VLOOKUP(C489,AW:AX,2,FALSE)</f>
        <v>#N/A</v>
      </c>
    </row>
    <row r="490" spans="1:83" ht="61.5" x14ac:dyDescent="0.85">
      <c r="A490" s="21">
        <v>1</v>
      </c>
      <c r="B490" s="70">
        <f>SUBTOTAL(103,$A$22:A490)</f>
        <v>416</v>
      </c>
      <c r="C490" s="25" t="s">
        <v>93</v>
      </c>
      <c r="D490" s="32">
        <f t="shared" ref="D490" si="220">E490+F490+G490+H490+I490+J490+L490+N490+P490+R490+T490+U490+V490+W490+X490+Y490+Z490+AA490+AB490+AC490+AD490+AE490</f>
        <v>3314280.82</v>
      </c>
      <c r="E490" s="32">
        <v>0</v>
      </c>
      <c r="F490" s="32">
        <v>0</v>
      </c>
      <c r="G490" s="32">
        <v>0</v>
      </c>
      <c r="H490" s="32">
        <v>0</v>
      </c>
      <c r="I490" s="32">
        <v>0</v>
      </c>
      <c r="J490" s="32">
        <v>0</v>
      </c>
      <c r="K490" s="34">
        <v>0</v>
      </c>
      <c r="L490" s="32">
        <v>0</v>
      </c>
      <c r="M490" s="32">
        <v>648.6</v>
      </c>
      <c r="N490" s="32">
        <v>3189024.12</v>
      </c>
      <c r="O490" s="32">
        <v>0</v>
      </c>
      <c r="P490" s="32">
        <v>0</v>
      </c>
      <c r="Q490" s="32">
        <v>0</v>
      </c>
      <c r="R490" s="32">
        <v>0</v>
      </c>
      <c r="S490" s="32">
        <v>0</v>
      </c>
      <c r="T490" s="32">
        <v>0</v>
      </c>
      <c r="U490" s="32">
        <v>0</v>
      </c>
      <c r="V490" s="32">
        <v>0</v>
      </c>
      <c r="W490" s="32">
        <v>0</v>
      </c>
      <c r="X490" s="32">
        <v>0</v>
      </c>
      <c r="Y490" s="32">
        <v>0</v>
      </c>
      <c r="Z490" s="32">
        <v>0</v>
      </c>
      <c r="AA490" s="32">
        <v>0</v>
      </c>
      <c r="AB490" s="32">
        <v>0</v>
      </c>
      <c r="AC490" s="32">
        <f>ROUND(N490*1.5%,2)</f>
        <v>47835.360000000001</v>
      </c>
      <c r="AD490" s="32">
        <v>77421.34</v>
      </c>
      <c r="AE490" s="32">
        <v>0</v>
      </c>
      <c r="AF490" s="35">
        <v>2020</v>
      </c>
      <c r="AG490" s="35">
        <v>2020</v>
      </c>
      <c r="AH490" s="36">
        <v>2020</v>
      </c>
      <c r="AT490" s="21" t="e">
        <f t="shared" si="219"/>
        <v>#N/A</v>
      </c>
    </row>
    <row r="491" spans="1:83" ht="61.5" x14ac:dyDescent="0.85">
      <c r="B491" s="25" t="s">
        <v>907</v>
      </c>
      <c r="C491" s="25"/>
      <c r="D491" s="32">
        <f t="shared" ref="D491:AE491" si="221">D492</f>
        <v>3133080</v>
      </c>
      <c r="E491" s="32">
        <f t="shared" si="221"/>
        <v>0</v>
      </c>
      <c r="F491" s="32">
        <f t="shared" si="221"/>
        <v>0</v>
      </c>
      <c r="G491" s="32">
        <f t="shared" si="221"/>
        <v>0</v>
      </c>
      <c r="H491" s="32">
        <f t="shared" si="221"/>
        <v>0</v>
      </c>
      <c r="I491" s="32">
        <f t="shared" si="221"/>
        <v>0</v>
      </c>
      <c r="J491" s="32">
        <f t="shared" si="221"/>
        <v>0</v>
      </c>
      <c r="K491" s="34">
        <f t="shared" si="221"/>
        <v>0</v>
      </c>
      <c r="L491" s="32">
        <f t="shared" si="221"/>
        <v>0</v>
      </c>
      <c r="M491" s="32">
        <f t="shared" si="221"/>
        <v>600</v>
      </c>
      <c r="N491" s="32">
        <f t="shared" si="221"/>
        <v>2938995.07</v>
      </c>
      <c r="O491" s="32">
        <f t="shared" si="221"/>
        <v>0</v>
      </c>
      <c r="P491" s="32">
        <f t="shared" si="221"/>
        <v>0</v>
      </c>
      <c r="Q491" s="32">
        <f t="shared" si="221"/>
        <v>0</v>
      </c>
      <c r="R491" s="32">
        <f t="shared" si="221"/>
        <v>0</v>
      </c>
      <c r="S491" s="32">
        <f t="shared" si="221"/>
        <v>0</v>
      </c>
      <c r="T491" s="32">
        <f t="shared" si="221"/>
        <v>0</v>
      </c>
      <c r="U491" s="32">
        <f t="shared" si="221"/>
        <v>0</v>
      </c>
      <c r="V491" s="32">
        <f t="shared" si="221"/>
        <v>0</v>
      </c>
      <c r="W491" s="32">
        <f t="shared" si="221"/>
        <v>0</v>
      </c>
      <c r="X491" s="32">
        <f t="shared" si="221"/>
        <v>0</v>
      </c>
      <c r="Y491" s="32">
        <f t="shared" si="221"/>
        <v>0</v>
      </c>
      <c r="Z491" s="32">
        <f t="shared" si="221"/>
        <v>0</v>
      </c>
      <c r="AA491" s="32">
        <f t="shared" si="221"/>
        <v>0</v>
      </c>
      <c r="AB491" s="32">
        <f t="shared" si="221"/>
        <v>0</v>
      </c>
      <c r="AC491" s="32">
        <f t="shared" si="221"/>
        <v>44084.93</v>
      </c>
      <c r="AD491" s="32">
        <f t="shared" si="221"/>
        <v>150000</v>
      </c>
      <c r="AE491" s="32">
        <f t="shared" si="221"/>
        <v>0</v>
      </c>
      <c r="AF491" s="77" t="s">
        <v>801</v>
      </c>
      <c r="AG491" s="77" t="s">
        <v>801</v>
      </c>
      <c r="AH491" s="107" t="s">
        <v>801</v>
      </c>
      <c r="AT491" s="21" t="e">
        <f t="shared" si="219"/>
        <v>#N/A</v>
      </c>
    </row>
    <row r="492" spans="1:83" ht="61.5" x14ac:dyDescent="0.85">
      <c r="A492" s="21">
        <v>1</v>
      </c>
      <c r="B492" s="70">
        <f>SUBTOTAL(103,$A$22:A492)</f>
        <v>417</v>
      </c>
      <c r="C492" s="25" t="s">
        <v>94</v>
      </c>
      <c r="D492" s="32">
        <f t="shared" ref="D492" si="222">E492+F492+G492+H492+I492+J492+L492+N492+P492+R492+T492+U492+V492+W492+X492+Y492+Z492+AA492+AB492+AC492+AD492+AE492</f>
        <v>3133080</v>
      </c>
      <c r="E492" s="32">
        <v>0</v>
      </c>
      <c r="F492" s="32">
        <v>0</v>
      </c>
      <c r="G492" s="32">
        <v>0</v>
      </c>
      <c r="H492" s="32">
        <v>0</v>
      </c>
      <c r="I492" s="32">
        <v>0</v>
      </c>
      <c r="J492" s="32">
        <v>0</v>
      </c>
      <c r="K492" s="34">
        <v>0</v>
      </c>
      <c r="L492" s="32">
        <v>0</v>
      </c>
      <c r="M492" s="32">
        <v>600</v>
      </c>
      <c r="N492" s="32">
        <v>2938995.07</v>
      </c>
      <c r="O492" s="32">
        <v>0</v>
      </c>
      <c r="P492" s="32">
        <v>0</v>
      </c>
      <c r="Q492" s="32">
        <v>0</v>
      </c>
      <c r="R492" s="32">
        <v>0</v>
      </c>
      <c r="S492" s="32">
        <v>0</v>
      </c>
      <c r="T492" s="32">
        <v>0</v>
      </c>
      <c r="U492" s="32">
        <v>0</v>
      </c>
      <c r="V492" s="32">
        <v>0</v>
      </c>
      <c r="W492" s="32">
        <v>0</v>
      </c>
      <c r="X492" s="32">
        <v>0</v>
      </c>
      <c r="Y492" s="32">
        <v>0</v>
      </c>
      <c r="Z492" s="32">
        <v>0</v>
      </c>
      <c r="AA492" s="32">
        <v>0</v>
      </c>
      <c r="AB492" s="32">
        <v>0</v>
      </c>
      <c r="AC492" s="32">
        <f>ROUND(N492*1.5%,2)</f>
        <v>44084.93</v>
      </c>
      <c r="AD492" s="32">
        <v>150000</v>
      </c>
      <c r="AE492" s="32">
        <v>0</v>
      </c>
      <c r="AF492" s="35">
        <v>2020</v>
      </c>
      <c r="AG492" s="35">
        <v>2020</v>
      </c>
      <c r="AH492" s="36">
        <v>2020</v>
      </c>
      <c r="AT492" s="21" t="e">
        <f t="shared" si="219"/>
        <v>#N/A</v>
      </c>
    </row>
    <row r="493" spans="1:83" ht="61.5" x14ac:dyDescent="0.85">
      <c r="B493" s="25" t="s">
        <v>908</v>
      </c>
      <c r="C493" s="25"/>
      <c r="D493" s="32">
        <f t="shared" ref="D493:AE493" si="223">D494</f>
        <v>5968517.3999999994</v>
      </c>
      <c r="E493" s="32">
        <f t="shared" si="223"/>
        <v>0</v>
      </c>
      <c r="F493" s="32">
        <f t="shared" si="223"/>
        <v>0</v>
      </c>
      <c r="G493" s="32">
        <f t="shared" si="223"/>
        <v>0</v>
      </c>
      <c r="H493" s="32">
        <f t="shared" si="223"/>
        <v>0</v>
      </c>
      <c r="I493" s="32">
        <f t="shared" si="223"/>
        <v>0</v>
      </c>
      <c r="J493" s="32">
        <f t="shared" si="223"/>
        <v>0</v>
      </c>
      <c r="K493" s="34">
        <f t="shared" si="223"/>
        <v>0</v>
      </c>
      <c r="L493" s="32">
        <f t="shared" si="223"/>
        <v>0</v>
      </c>
      <c r="M493" s="32">
        <f t="shared" si="223"/>
        <v>1143</v>
      </c>
      <c r="N493" s="32">
        <f t="shared" si="223"/>
        <v>5702972.8099999996</v>
      </c>
      <c r="O493" s="32">
        <f t="shared" si="223"/>
        <v>0</v>
      </c>
      <c r="P493" s="32">
        <f t="shared" si="223"/>
        <v>0</v>
      </c>
      <c r="Q493" s="32">
        <f t="shared" si="223"/>
        <v>0</v>
      </c>
      <c r="R493" s="32">
        <f t="shared" si="223"/>
        <v>0</v>
      </c>
      <c r="S493" s="32">
        <f t="shared" si="223"/>
        <v>0</v>
      </c>
      <c r="T493" s="32">
        <f t="shared" si="223"/>
        <v>0</v>
      </c>
      <c r="U493" s="32">
        <f t="shared" si="223"/>
        <v>0</v>
      </c>
      <c r="V493" s="32">
        <f t="shared" si="223"/>
        <v>0</v>
      </c>
      <c r="W493" s="32">
        <f t="shared" si="223"/>
        <v>0</v>
      </c>
      <c r="X493" s="32">
        <f t="shared" si="223"/>
        <v>0</v>
      </c>
      <c r="Y493" s="32">
        <f t="shared" si="223"/>
        <v>0</v>
      </c>
      <c r="Z493" s="32">
        <f t="shared" si="223"/>
        <v>0</v>
      </c>
      <c r="AA493" s="32">
        <f t="shared" si="223"/>
        <v>0</v>
      </c>
      <c r="AB493" s="32">
        <f t="shared" si="223"/>
        <v>0</v>
      </c>
      <c r="AC493" s="32">
        <f t="shared" si="223"/>
        <v>85544.59</v>
      </c>
      <c r="AD493" s="32">
        <f t="shared" si="223"/>
        <v>180000</v>
      </c>
      <c r="AE493" s="32">
        <f t="shared" si="223"/>
        <v>0</v>
      </c>
      <c r="AF493" s="77" t="s">
        <v>801</v>
      </c>
      <c r="AG493" s="77" t="s">
        <v>801</v>
      </c>
      <c r="AH493" s="107" t="s">
        <v>801</v>
      </c>
      <c r="AT493" s="21" t="e">
        <f t="shared" si="219"/>
        <v>#N/A</v>
      </c>
    </row>
    <row r="494" spans="1:83" ht="61.5" x14ac:dyDescent="0.85">
      <c r="A494" s="21">
        <v>1</v>
      </c>
      <c r="B494" s="70">
        <f>SUBTOTAL(103,$A$22:A494)</f>
        <v>418</v>
      </c>
      <c r="C494" s="25" t="s">
        <v>95</v>
      </c>
      <c r="D494" s="32">
        <f t="shared" ref="D494" si="224">E494+F494+G494+H494+I494+J494+L494+N494+P494+R494+T494+U494+V494+W494+X494+Y494+Z494+AA494+AB494+AC494+AD494+AE494</f>
        <v>5968517.3999999994</v>
      </c>
      <c r="E494" s="32">
        <v>0</v>
      </c>
      <c r="F494" s="32">
        <v>0</v>
      </c>
      <c r="G494" s="32">
        <v>0</v>
      </c>
      <c r="H494" s="32">
        <v>0</v>
      </c>
      <c r="I494" s="32">
        <v>0</v>
      </c>
      <c r="J494" s="32">
        <v>0</v>
      </c>
      <c r="K494" s="34">
        <v>0</v>
      </c>
      <c r="L494" s="32">
        <v>0</v>
      </c>
      <c r="M494" s="32">
        <v>1143</v>
      </c>
      <c r="N494" s="32">
        <v>5702972.8099999996</v>
      </c>
      <c r="O494" s="32">
        <v>0</v>
      </c>
      <c r="P494" s="32">
        <v>0</v>
      </c>
      <c r="Q494" s="32">
        <v>0</v>
      </c>
      <c r="R494" s="32">
        <v>0</v>
      </c>
      <c r="S494" s="32">
        <v>0</v>
      </c>
      <c r="T494" s="32">
        <v>0</v>
      </c>
      <c r="U494" s="32">
        <v>0</v>
      </c>
      <c r="V494" s="32">
        <v>0</v>
      </c>
      <c r="W494" s="32">
        <v>0</v>
      </c>
      <c r="X494" s="32">
        <v>0</v>
      </c>
      <c r="Y494" s="32">
        <v>0</v>
      </c>
      <c r="Z494" s="32">
        <v>0</v>
      </c>
      <c r="AA494" s="32">
        <v>0</v>
      </c>
      <c r="AB494" s="32">
        <v>0</v>
      </c>
      <c r="AC494" s="32">
        <f>ROUND(N494*1.5%,2)</f>
        <v>85544.59</v>
      </c>
      <c r="AD494" s="32">
        <v>180000</v>
      </c>
      <c r="AE494" s="32">
        <v>0</v>
      </c>
      <c r="AF494" s="35">
        <v>2020</v>
      </c>
      <c r="AG494" s="35">
        <v>2020</v>
      </c>
      <c r="AH494" s="36">
        <v>2020</v>
      </c>
      <c r="AT494" s="21" t="e">
        <f t="shared" si="219"/>
        <v>#N/A</v>
      </c>
    </row>
    <row r="495" spans="1:83" ht="61.5" x14ac:dyDescent="0.85">
      <c r="B495" s="25" t="s">
        <v>909</v>
      </c>
      <c r="C495" s="25"/>
      <c r="D495" s="32">
        <f t="shared" ref="D495:AE495" si="225">D496</f>
        <v>3253210.4899999998</v>
      </c>
      <c r="E495" s="32">
        <f t="shared" si="225"/>
        <v>0</v>
      </c>
      <c r="F495" s="32">
        <f t="shared" si="225"/>
        <v>0</v>
      </c>
      <c r="G495" s="32">
        <f t="shared" si="225"/>
        <v>0</v>
      </c>
      <c r="H495" s="32">
        <f t="shared" si="225"/>
        <v>0</v>
      </c>
      <c r="I495" s="32">
        <f t="shared" si="225"/>
        <v>0</v>
      </c>
      <c r="J495" s="32">
        <f t="shared" si="225"/>
        <v>0</v>
      </c>
      <c r="K495" s="34">
        <f t="shared" si="225"/>
        <v>0</v>
      </c>
      <c r="L495" s="32">
        <f t="shared" si="225"/>
        <v>0</v>
      </c>
      <c r="M495" s="32">
        <f t="shared" si="225"/>
        <v>600</v>
      </c>
      <c r="N495" s="32">
        <f t="shared" si="225"/>
        <v>3126378.1399999997</v>
      </c>
      <c r="O495" s="32">
        <f t="shared" si="225"/>
        <v>0</v>
      </c>
      <c r="P495" s="32">
        <f t="shared" si="225"/>
        <v>0</v>
      </c>
      <c r="Q495" s="32">
        <f t="shared" si="225"/>
        <v>0</v>
      </c>
      <c r="R495" s="32">
        <f t="shared" si="225"/>
        <v>0</v>
      </c>
      <c r="S495" s="32">
        <f t="shared" si="225"/>
        <v>0</v>
      </c>
      <c r="T495" s="32">
        <f t="shared" si="225"/>
        <v>0</v>
      </c>
      <c r="U495" s="32">
        <f t="shared" si="225"/>
        <v>0</v>
      </c>
      <c r="V495" s="32">
        <f t="shared" si="225"/>
        <v>0</v>
      </c>
      <c r="W495" s="32">
        <f t="shared" si="225"/>
        <v>0</v>
      </c>
      <c r="X495" s="32">
        <f t="shared" si="225"/>
        <v>0</v>
      </c>
      <c r="Y495" s="32">
        <f t="shared" si="225"/>
        <v>0</v>
      </c>
      <c r="Z495" s="32">
        <f t="shared" si="225"/>
        <v>0</v>
      </c>
      <c r="AA495" s="32">
        <f t="shared" si="225"/>
        <v>0</v>
      </c>
      <c r="AB495" s="32">
        <f t="shared" si="225"/>
        <v>0</v>
      </c>
      <c r="AC495" s="32">
        <f t="shared" si="225"/>
        <v>46895.67</v>
      </c>
      <c r="AD495" s="32">
        <f t="shared" si="225"/>
        <v>79936.679999999993</v>
      </c>
      <c r="AE495" s="32">
        <f t="shared" si="225"/>
        <v>0</v>
      </c>
      <c r="AF495" s="77" t="s">
        <v>801</v>
      </c>
      <c r="AG495" s="77" t="s">
        <v>801</v>
      </c>
      <c r="AH495" s="107" t="s">
        <v>801</v>
      </c>
      <c r="AT495" s="21" t="e">
        <f t="shared" si="219"/>
        <v>#N/A</v>
      </c>
    </row>
    <row r="496" spans="1:83" ht="61.5" x14ac:dyDescent="0.85">
      <c r="A496" s="21">
        <v>1</v>
      </c>
      <c r="B496" s="70">
        <f>SUBTOTAL(103,$A$22:A496)</f>
        <v>419</v>
      </c>
      <c r="C496" s="25" t="s">
        <v>96</v>
      </c>
      <c r="D496" s="32">
        <f t="shared" ref="D496" si="226">E496+F496+G496+H496+I496+J496+L496+N496+P496+R496+T496+U496+V496+W496+X496+Y496+Z496+AA496+AB496+AC496+AD496+AE496</f>
        <v>3253210.4899999998</v>
      </c>
      <c r="E496" s="32">
        <v>0</v>
      </c>
      <c r="F496" s="32">
        <v>0</v>
      </c>
      <c r="G496" s="32">
        <v>0</v>
      </c>
      <c r="H496" s="32">
        <v>0</v>
      </c>
      <c r="I496" s="32">
        <v>0</v>
      </c>
      <c r="J496" s="32">
        <v>0</v>
      </c>
      <c r="K496" s="34">
        <v>0</v>
      </c>
      <c r="L496" s="32">
        <v>0</v>
      </c>
      <c r="M496" s="32">
        <v>600</v>
      </c>
      <c r="N496" s="32">
        <f>2938995.07+187383.07</f>
        <v>3126378.1399999997</v>
      </c>
      <c r="O496" s="32">
        <v>0</v>
      </c>
      <c r="P496" s="32">
        <v>0</v>
      </c>
      <c r="Q496" s="32">
        <v>0</v>
      </c>
      <c r="R496" s="32">
        <v>0</v>
      </c>
      <c r="S496" s="32">
        <v>0</v>
      </c>
      <c r="T496" s="32">
        <v>0</v>
      </c>
      <c r="U496" s="32">
        <v>0</v>
      </c>
      <c r="V496" s="32">
        <v>0</v>
      </c>
      <c r="W496" s="32">
        <v>0</v>
      </c>
      <c r="X496" s="32">
        <v>0</v>
      </c>
      <c r="Y496" s="32">
        <v>0</v>
      </c>
      <c r="Z496" s="32">
        <v>0</v>
      </c>
      <c r="AA496" s="32">
        <v>0</v>
      </c>
      <c r="AB496" s="32">
        <v>0</v>
      </c>
      <c r="AC496" s="32">
        <f>ROUND(N496*1.5%,2)</f>
        <v>46895.67</v>
      </c>
      <c r="AD496" s="32">
        <v>79936.679999999993</v>
      </c>
      <c r="AE496" s="32">
        <v>0</v>
      </c>
      <c r="AF496" s="35">
        <v>2020</v>
      </c>
      <c r="AG496" s="35">
        <v>2020</v>
      </c>
      <c r="AH496" s="36">
        <v>2020</v>
      </c>
      <c r="AT496" s="21" t="e">
        <f t="shared" si="219"/>
        <v>#N/A</v>
      </c>
    </row>
    <row r="497" spans="1:46" ht="61.5" x14ac:dyDescent="0.85">
      <c r="B497" s="25" t="s">
        <v>1360</v>
      </c>
      <c r="C497" s="25"/>
      <c r="D497" s="32">
        <f>D498</f>
        <v>2309984.35</v>
      </c>
      <c r="E497" s="32">
        <f t="shared" ref="E497:AE497" si="227">E498</f>
        <v>0</v>
      </c>
      <c r="F497" s="32">
        <f t="shared" si="227"/>
        <v>0</v>
      </c>
      <c r="G497" s="32">
        <f t="shared" si="227"/>
        <v>1528355.34</v>
      </c>
      <c r="H497" s="32">
        <f t="shared" si="227"/>
        <v>173337.94</v>
      </c>
      <c r="I497" s="32">
        <f t="shared" si="227"/>
        <v>574321.54</v>
      </c>
      <c r="J497" s="32">
        <f t="shared" si="227"/>
        <v>0</v>
      </c>
      <c r="K497" s="34">
        <f t="shared" si="227"/>
        <v>0</v>
      </c>
      <c r="L497" s="32">
        <f t="shared" si="227"/>
        <v>0</v>
      </c>
      <c r="M497" s="32">
        <f t="shared" si="227"/>
        <v>0</v>
      </c>
      <c r="N497" s="32">
        <f t="shared" si="227"/>
        <v>0</v>
      </c>
      <c r="O497" s="32">
        <f t="shared" si="227"/>
        <v>0</v>
      </c>
      <c r="P497" s="32">
        <f t="shared" si="227"/>
        <v>0</v>
      </c>
      <c r="Q497" s="32">
        <f t="shared" si="227"/>
        <v>0</v>
      </c>
      <c r="R497" s="32">
        <f t="shared" si="227"/>
        <v>0</v>
      </c>
      <c r="S497" s="32">
        <f t="shared" si="227"/>
        <v>0</v>
      </c>
      <c r="T497" s="32">
        <f t="shared" si="227"/>
        <v>0</v>
      </c>
      <c r="U497" s="32">
        <f t="shared" si="227"/>
        <v>0</v>
      </c>
      <c r="V497" s="32">
        <f t="shared" si="227"/>
        <v>0</v>
      </c>
      <c r="W497" s="32">
        <f t="shared" si="227"/>
        <v>0</v>
      </c>
      <c r="X497" s="32">
        <f t="shared" si="227"/>
        <v>0</v>
      </c>
      <c r="Y497" s="32">
        <f t="shared" si="227"/>
        <v>0</v>
      </c>
      <c r="Z497" s="32">
        <f t="shared" si="227"/>
        <v>0</v>
      </c>
      <c r="AA497" s="32">
        <f t="shared" si="227"/>
        <v>0</v>
      </c>
      <c r="AB497" s="32">
        <f t="shared" si="227"/>
        <v>0</v>
      </c>
      <c r="AC497" s="32">
        <f t="shared" si="227"/>
        <v>33969.53</v>
      </c>
      <c r="AD497" s="32">
        <f t="shared" si="227"/>
        <v>0</v>
      </c>
      <c r="AE497" s="32">
        <f t="shared" si="227"/>
        <v>0</v>
      </c>
      <c r="AF497" s="77" t="s">
        <v>801</v>
      </c>
      <c r="AG497" s="77" t="s">
        <v>801</v>
      </c>
      <c r="AH497" s="107" t="s">
        <v>801</v>
      </c>
    </row>
    <row r="498" spans="1:46" ht="61.5" x14ac:dyDescent="0.85">
      <c r="A498" s="21">
        <v>1</v>
      </c>
      <c r="B498" s="70">
        <f>SUBTOTAL(103,$A$22:A498)</f>
        <v>420</v>
      </c>
      <c r="C498" s="25" t="s">
        <v>1361</v>
      </c>
      <c r="D498" s="32">
        <f t="shared" ref="D498" si="228">E498+F498+G498+H498+I498+J498+L498+N498+P498+R498+T498+U498+V498+W498+X498+Y498+Z498+AA498+AB498+AC498+AD498+AE498</f>
        <v>2309984.35</v>
      </c>
      <c r="E498" s="32">
        <v>0</v>
      </c>
      <c r="F498" s="32">
        <v>0</v>
      </c>
      <c r="G498" s="32">
        <f>1435759.25+92596.09</f>
        <v>1528355.34</v>
      </c>
      <c r="H498" s="32">
        <v>173337.94</v>
      </c>
      <c r="I498" s="32">
        <v>574321.54</v>
      </c>
      <c r="J498" s="32">
        <v>0</v>
      </c>
      <c r="K498" s="34">
        <v>0</v>
      </c>
      <c r="L498" s="32">
        <v>0</v>
      </c>
      <c r="M498" s="32">
        <v>0</v>
      </c>
      <c r="N498" s="32">
        <v>0</v>
      </c>
      <c r="O498" s="32">
        <v>0</v>
      </c>
      <c r="P498" s="32">
        <v>0</v>
      </c>
      <c r="Q498" s="32">
        <v>0</v>
      </c>
      <c r="R498" s="32">
        <v>0</v>
      </c>
      <c r="S498" s="32">
        <v>0</v>
      </c>
      <c r="T498" s="32">
        <v>0</v>
      </c>
      <c r="U498" s="32">
        <v>0</v>
      </c>
      <c r="V498" s="32">
        <v>0</v>
      </c>
      <c r="W498" s="32">
        <v>0</v>
      </c>
      <c r="X498" s="32">
        <v>0</v>
      </c>
      <c r="Y498" s="32">
        <v>0</v>
      </c>
      <c r="Z498" s="32">
        <v>0</v>
      </c>
      <c r="AA498" s="32">
        <v>0</v>
      </c>
      <c r="AB498" s="32">
        <v>0</v>
      </c>
      <c r="AC498" s="32">
        <f>ROUND((E498+F498+G498+H498+I498+J498)*1.4925%,2)+0.01</f>
        <v>33969.53</v>
      </c>
      <c r="AD498" s="32">
        <v>0</v>
      </c>
      <c r="AE498" s="32">
        <v>0</v>
      </c>
      <c r="AF498" s="35" t="s">
        <v>275</v>
      </c>
      <c r="AG498" s="35">
        <v>2020</v>
      </c>
      <c r="AH498" s="36">
        <v>2020</v>
      </c>
    </row>
    <row r="499" spans="1:46" ht="61.5" x14ac:dyDescent="0.85">
      <c r="B499" s="25" t="s">
        <v>910</v>
      </c>
      <c r="C499" s="110"/>
      <c r="D499" s="32">
        <f>SUM(D500:D505)</f>
        <v>13199067.600000001</v>
      </c>
      <c r="E499" s="32">
        <f t="shared" ref="E499:AE499" si="229">SUM(E500:E505)</f>
        <v>375354.33</v>
      </c>
      <c r="F499" s="32">
        <f t="shared" si="229"/>
        <v>634441.64999999991</v>
      </c>
      <c r="G499" s="32">
        <f t="shared" si="229"/>
        <v>4310797.33</v>
      </c>
      <c r="H499" s="32">
        <f t="shared" si="229"/>
        <v>437490.02</v>
      </c>
      <c r="I499" s="32">
        <f t="shared" si="229"/>
        <v>1000000</v>
      </c>
      <c r="J499" s="32">
        <f t="shared" si="229"/>
        <v>0</v>
      </c>
      <c r="K499" s="34">
        <f t="shared" si="229"/>
        <v>0</v>
      </c>
      <c r="L499" s="32">
        <f t="shared" si="229"/>
        <v>0</v>
      </c>
      <c r="M499" s="32">
        <f t="shared" si="229"/>
        <v>1369.4</v>
      </c>
      <c r="N499" s="32">
        <f t="shared" si="229"/>
        <v>5654791.1499999994</v>
      </c>
      <c r="O499" s="32">
        <f t="shared" si="229"/>
        <v>0</v>
      </c>
      <c r="P499" s="32">
        <f t="shared" si="229"/>
        <v>0</v>
      </c>
      <c r="Q499" s="32">
        <f t="shared" si="229"/>
        <v>0</v>
      </c>
      <c r="R499" s="32">
        <f t="shared" si="229"/>
        <v>0</v>
      </c>
      <c r="S499" s="32">
        <f t="shared" si="229"/>
        <v>0</v>
      </c>
      <c r="T499" s="32">
        <f t="shared" si="229"/>
        <v>0</v>
      </c>
      <c r="U499" s="32">
        <f t="shared" si="229"/>
        <v>0</v>
      </c>
      <c r="V499" s="32">
        <f t="shared" si="229"/>
        <v>0</v>
      </c>
      <c r="W499" s="32">
        <f t="shared" si="229"/>
        <v>0</v>
      </c>
      <c r="X499" s="32">
        <f t="shared" si="229"/>
        <v>0</v>
      </c>
      <c r="Y499" s="32">
        <f t="shared" si="229"/>
        <v>0</v>
      </c>
      <c r="Z499" s="32">
        <f t="shared" si="229"/>
        <v>0</v>
      </c>
      <c r="AA499" s="32">
        <f t="shared" si="229"/>
        <v>0</v>
      </c>
      <c r="AB499" s="32">
        <f t="shared" si="229"/>
        <v>0</v>
      </c>
      <c r="AC499" s="32">
        <f t="shared" si="229"/>
        <v>186193.12</v>
      </c>
      <c r="AD499" s="32">
        <f t="shared" si="229"/>
        <v>240000</v>
      </c>
      <c r="AE499" s="32">
        <f t="shared" si="229"/>
        <v>360000</v>
      </c>
      <c r="AF499" s="77" t="s">
        <v>801</v>
      </c>
      <c r="AG499" s="77" t="s">
        <v>801</v>
      </c>
      <c r="AH499" s="107" t="s">
        <v>801</v>
      </c>
      <c r="AT499" s="21" t="e">
        <f>VLOOKUP(C499,AW:AX,2,FALSE)</f>
        <v>#N/A</v>
      </c>
    </row>
    <row r="500" spans="1:46" ht="61.5" x14ac:dyDescent="0.85">
      <c r="A500" s="21">
        <v>1</v>
      </c>
      <c r="B500" s="70">
        <f>SUBTOTAL(103,$A$22:A500)</f>
        <v>421</v>
      </c>
      <c r="C500" s="25" t="s">
        <v>190</v>
      </c>
      <c r="D500" s="32">
        <f t="shared" ref="D500:D505" si="230">E500+F500+G500+H500+I500+J500+L500+N500+P500+R500+T500+U500+V500+W500+X500+Y500+Z500+AA500+AB500+AC500+AD500+AE500</f>
        <v>1157700</v>
      </c>
      <c r="E500" s="32">
        <v>0</v>
      </c>
      <c r="F500" s="32">
        <v>0</v>
      </c>
      <c r="G500" s="32">
        <v>0</v>
      </c>
      <c r="H500" s="32">
        <v>0</v>
      </c>
      <c r="I500" s="32">
        <v>0</v>
      </c>
      <c r="J500" s="32">
        <v>0</v>
      </c>
      <c r="K500" s="34">
        <v>0</v>
      </c>
      <c r="L500" s="32">
        <v>0</v>
      </c>
      <c r="M500" s="32">
        <v>227</v>
      </c>
      <c r="N500" s="32">
        <v>1022364.53</v>
      </c>
      <c r="O500" s="32">
        <v>0</v>
      </c>
      <c r="P500" s="32">
        <v>0</v>
      </c>
      <c r="Q500" s="32">
        <v>0</v>
      </c>
      <c r="R500" s="32">
        <v>0</v>
      </c>
      <c r="S500" s="32">
        <v>0</v>
      </c>
      <c r="T500" s="32">
        <v>0</v>
      </c>
      <c r="U500" s="32">
        <v>0</v>
      </c>
      <c r="V500" s="32">
        <v>0</v>
      </c>
      <c r="W500" s="32">
        <v>0</v>
      </c>
      <c r="X500" s="32">
        <v>0</v>
      </c>
      <c r="Y500" s="32">
        <v>0</v>
      </c>
      <c r="Z500" s="32">
        <v>0</v>
      </c>
      <c r="AA500" s="32">
        <v>0</v>
      </c>
      <c r="AB500" s="32">
        <v>0</v>
      </c>
      <c r="AC500" s="32">
        <f t="shared" ref="AC500:AC503" si="231">ROUND(N500*1.5%,2)</f>
        <v>15335.47</v>
      </c>
      <c r="AD500" s="32">
        <v>120000</v>
      </c>
      <c r="AE500" s="32">
        <v>0</v>
      </c>
      <c r="AF500" s="35">
        <v>2020</v>
      </c>
      <c r="AG500" s="35">
        <v>2020</v>
      </c>
      <c r="AH500" s="36">
        <v>2020</v>
      </c>
      <c r="AT500" s="21" t="e">
        <f>VLOOKUP(C500,AW:AX,2,FALSE)</f>
        <v>#N/A</v>
      </c>
    </row>
    <row r="501" spans="1:46" ht="61.5" x14ac:dyDescent="0.85">
      <c r="A501" s="21">
        <v>1</v>
      </c>
      <c r="B501" s="70">
        <f>SUBTOTAL(103,$A$22:A501)</f>
        <v>422</v>
      </c>
      <c r="C501" s="25" t="s">
        <v>189</v>
      </c>
      <c r="D501" s="32">
        <f t="shared" si="230"/>
        <v>1514699.9999999998</v>
      </c>
      <c r="E501" s="32">
        <v>0</v>
      </c>
      <c r="F501" s="32">
        <v>0</v>
      </c>
      <c r="G501" s="32">
        <v>0</v>
      </c>
      <c r="H501" s="32">
        <v>0</v>
      </c>
      <c r="I501" s="32">
        <v>0</v>
      </c>
      <c r="J501" s="32">
        <v>0</v>
      </c>
      <c r="K501" s="34">
        <v>0</v>
      </c>
      <c r="L501" s="32">
        <v>0</v>
      </c>
      <c r="M501" s="32">
        <v>297</v>
      </c>
      <c r="N501" s="32">
        <f>1374088.67-118226.6</f>
        <v>1255862.0699999998</v>
      </c>
      <c r="O501" s="32">
        <v>0</v>
      </c>
      <c r="P501" s="32">
        <v>0</v>
      </c>
      <c r="Q501" s="32">
        <v>0</v>
      </c>
      <c r="R501" s="32">
        <v>0</v>
      </c>
      <c r="S501" s="32">
        <v>0</v>
      </c>
      <c r="T501" s="32">
        <v>0</v>
      </c>
      <c r="U501" s="32">
        <v>0</v>
      </c>
      <c r="V501" s="32">
        <v>0</v>
      </c>
      <c r="W501" s="32">
        <v>0</v>
      </c>
      <c r="X501" s="32">
        <v>0</v>
      </c>
      <c r="Y501" s="32">
        <v>0</v>
      </c>
      <c r="Z501" s="32">
        <v>0</v>
      </c>
      <c r="AA501" s="32">
        <v>0</v>
      </c>
      <c r="AB501" s="32">
        <v>0</v>
      </c>
      <c r="AC501" s="32">
        <f t="shared" si="231"/>
        <v>18837.93</v>
      </c>
      <c r="AD501" s="32">
        <v>120000</v>
      </c>
      <c r="AE501" s="32">
        <v>120000</v>
      </c>
      <c r="AF501" s="35">
        <v>2020</v>
      </c>
      <c r="AG501" s="35">
        <v>2020</v>
      </c>
      <c r="AH501" s="36">
        <v>2020</v>
      </c>
      <c r="AT501" s="21" t="e">
        <f>VLOOKUP(C501,AW:AX,2,FALSE)</f>
        <v>#N/A</v>
      </c>
    </row>
    <row r="502" spans="1:46" ht="61.5" x14ac:dyDescent="0.85">
      <c r="A502" s="21">
        <v>1</v>
      </c>
      <c r="B502" s="70">
        <f>SUBTOTAL(103,$A$22:A502)</f>
        <v>423</v>
      </c>
      <c r="C502" s="25" t="s">
        <v>1362</v>
      </c>
      <c r="D502" s="32">
        <f t="shared" si="230"/>
        <v>2173966.8199999998</v>
      </c>
      <c r="E502" s="32">
        <v>0</v>
      </c>
      <c r="F502" s="32">
        <v>0</v>
      </c>
      <c r="G502" s="32">
        <v>0</v>
      </c>
      <c r="H502" s="32">
        <v>0</v>
      </c>
      <c r="I502" s="32">
        <v>0</v>
      </c>
      <c r="J502" s="32">
        <v>0</v>
      </c>
      <c r="K502" s="34">
        <v>0</v>
      </c>
      <c r="L502" s="32">
        <v>0</v>
      </c>
      <c r="M502" s="32">
        <v>437.4</v>
      </c>
      <c r="N502" s="32">
        <v>2023612.63</v>
      </c>
      <c r="O502" s="32">
        <v>0</v>
      </c>
      <c r="P502" s="32">
        <v>0</v>
      </c>
      <c r="Q502" s="32">
        <v>0</v>
      </c>
      <c r="R502" s="32">
        <v>0</v>
      </c>
      <c r="S502" s="32">
        <v>0</v>
      </c>
      <c r="T502" s="32">
        <v>0</v>
      </c>
      <c r="U502" s="32">
        <v>0</v>
      </c>
      <c r="V502" s="32">
        <v>0</v>
      </c>
      <c r="W502" s="32">
        <v>0</v>
      </c>
      <c r="X502" s="32">
        <v>0</v>
      </c>
      <c r="Y502" s="32">
        <v>0</v>
      </c>
      <c r="Z502" s="32">
        <v>0</v>
      </c>
      <c r="AA502" s="32">
        <v>0</v>
      </c>
      <c r="AB502" s="32">
        <v>0</v>
      </c>
      <c r="AC502" s="32">
        <f t="shared" si="231"/>
        <v>30354.19</v>
      </c>
      <c r="AD502" s="32">
        <v>0</v>
      </c>
      <c r="AE502" s="32">
        <v>120000</v>
      </c>
      <c r="AF502" s="35" t="s">
        <v>275</v>
      </c>
      <c r="AG502" s="35">
        <v>2020</v>
      </c>
      <c r="AH502" s="36">
        <v>2020</v>
      </c>
    </row>
    <row r="503" spans="1:46" ht="61.5" x14ac:dyDescent="0.85">
      <c r="A503" s="21">
        <v>1</v>
      </c>
      <c r="B503" s="70">
        <f>SUBTOTAL(103,$A$22:A503)</f>
        <v>424</v>
      </c>
      <c r="C503" s="25" t="s">
        <v>1363</v>
      </c>
      <c r="D503" s="32">
        <f t="shared" si="230"/>
        <v>1493246.2</v>
      </c>
      <c r="E503" s="32">
        <v>0</v>
      </c>
      <c r="F503" s="32">
        <v>0</v>
      </c>
      <c r="G503" s="32">
        <v>0</v>
      </c>
      <c r="H503" s="32">
        <v>0</v>
      </c>
      <c r="I503" s="32">
        <v>0</v>
      </c>
      <c r="J503" s="32">
        <v>0</v>
      </c>
      <c r="K503" s="34">
        <v>0</v>
      </c>
      <c r="L503" s="32">
        <v>0</v>
      </c>
      <c r="M503" s="32">
        <v>408</v>
      </c>
      <c r="N503" s="32">
        <f>1302287.65+50664.27</f>
        <v>1352951.92</v>
      </c>
      <c r="O503" s="32">
        <v>0</v>
      </c>
      <c r="P503" s="32">
        <v>0</v>
      </c>
      <c r="Q503" s="32">
        <v>0</v>
      </c>
      <c r="R503" s="32">
        <v>0</v>
      </c>
      <c r="S503" s="32">
        <v>0</v>
      </c>
      <c r="T503" s="32">
        <v>0</v>
      </c>
      <c r="U503" s="32">
        <v>0</v>
      </c>
      <c r="V503" s="32">
        <v>0</v>
      </c>
      <c r="W503" s="32">
        <v>0</v>
      </c>
      <c r="X503" s="32">
        <v>0</v>
      </c>
      <c r="Y503" s="32">
        <v>0</v>
      </c>
      <c r="Z503" s="32">
        <v>0</v>
      </c>
      <c r="AA503" s="32">
        <v>0</v>
      </c>
      <c r="AB503" s="32">
        <v>0</v>
      </c>
      <c r="AC503" s="32">
        <f t="shared" si="231"/>
        <v>20294.28</v>
      </c>
      <c r="AD503" s="32">
        <v>0</v>
      </c>
      <c r="AE503" s="32">
        <v>120000</v>
      </c>
      <c r="AF503" s="35" t="s">
        <v>275</v>
      </c>
      <c r="AG503" s="35">
        <v>2020</v>
      </c>
      <c r="AH503" s="36">
        <v>2020</v>
      </c>
    </row>
    <row r="504" spans="1:46" ht="61.5" x14ac:dyDescent="0.85">
      <c r="A504" s="21">
        <v>1</v>
      </c>
      <c r="B504" s="70">
        <f>SUBTOTAL(103,$A$22:A504)</f>
        <v>425</v>
      </c>
      <c r="C504" s="25" t="s">
        <v>1364</v>
      </c>
      <c r="D504" s="32">
        <f t="shared" si="230"/>
        <v>3513825.79</v>
      </c>
      <c r="E504" s="32">
        <v>188564.29</v>
      </c>
      <c r="F504" s="32">
        <v>328918.78999999998</v>
      </c>
      <c r="G504" s="32">
        <v>2223537.9500000002</v>
      </c>
      <c r="H504" s="32">
        <v>220876.3</v>
      </c>
      <c r="I504" s="32">
        <v>500000</v>
      </c>
      <c r="J504" s="32">
        <v>0</v>
      </c>
      <c r="K504" s="34">
        <v>0</v>
      </c>
      <c r="L504" s="32">
        <v>0</v>
      </c>
      <c r="M504" s="32">
        <v>0</v>
      </c>
      <c r="N504" s="32">
        <v>0</v>
      </c>
      <c r="O504" s="32">
        <v>0</v>
      </c>
      <c r="P504" s="32">
        <v>0</v>
      </c>
      <c r="Q504" s="32">
        <v>0</v>
      </c>
      <c r="R504" s="32">
        <v>0</v>
      </c>
      <c r="S504" s="32">
        <v>0</v>
      </c>
      <c r="T504" s="32">
        <v>0</v>
      </c>
      <c r="U504" s="32">
        <v>0</v>
      </c>
      <c r="V504" s="32">
        <v>0</v>
      </c>
      <c r="W504" s="32">
        <v>0</v>
      </c>
      <c r="X504" s="32">
        <v>0</v>
      </c>
      <c r="Y504" s="32">
        <v>0</v>
      </c>
      <c r="Z504" s="32">
        <v>0</v>
      </c>
      <c r="AA504" s="32">
        <v>0</v>
      </c>
      <c r="AB504" s="32">
        <v>0</v>
      </c>
      <c r="AC504" s="32">
        <f t="shared" ref="AC504:AC505" si="232">ROUND((E504+F504+G504+H504+I504+J504)*1.5%,2)</f>
        <v>51928.46</v>
      </c>
      <c r="AD504" s="32">
        <v>0</v>
      </c>
      <c r="AE504" s="32">
        <v>0</v>
      </c>
      <c r="AF504" s="35" t="s">
        <v>275</v>
      </c>
      <c r="AG504" s="35">
        <v>2020</v>
      </c>
      <c r="AH504" s="36">
        <v>2020</v>
      </c>
    </row>
    <row r="505" spans="1:46" ht="61.5" x14ac:dyDescent="0.85">
      <c r="A505" s="21">
        <v>1</v>
      </c>
      <c r="B505" s="70">
        <f>SUBTOTAL(103,$A$22:A505)</f>
        <v>426</v>
      </c>
      <c r="C505" s="25" t="s">
        <v>1365</v>
      </c>
      <c r="D505" s="32">
        <f t="shared" si="230"/>
        <v>3345628.79</v>
      </c>
      <c r="E505" s="32">
        <v>186790.04</v>
      </c>
      <c r="F505" s="32">
        <v>305522.86</v>
      </c>
      <c r="G505" s="32">
        <v>2087259.38</v>
      </c>
      <c r="H505" s="32">
        <v>216613.72</v>
      </c>
      <c r="I505" s="32">
        <v>500000</v>
      </c>
      <c r="J505" s="32">
        <v>0</v>
      </c>
      <c r="K505" s="34">
        <v>0</v>
      </c>
      <c r="L505" s="32">
        <v>0</v>
      </c>
      <c r="M505" s="32">
        <v>0</v>
      </c>
      <c r="N505" s="32">
        <v>0</v>
      </c>
      <c r="O505" s="32">
        <v>0</v>
      </c>
      <c r="P505" s="32">
        <v>0</v>
      </c>
      <c r="Q505" s="32">
        <v>0</v>
      </c>
      <c r="R505" s="32">
        <v>0</v>
      </c>
      <c r="S505" s="32">
        <v>0</v>
      </c>
      <c r="T505" s="32">
        <v>0</v>
      </c>
      <c r="U505" s="32">
        <v>0</v>
      </c>
      <c r="V505" s="32">
        <v>0</v>
      </c>
      <c r="W505" s="32">
        <v>0</v>
      </c>
      <c r="X505" s="32">
        <v>0</v>
      </c>
      <c r="Y505" s="32">
        <v>0</v>
      </c>
      <c r="Z505" s="32">
        <v>0</v>
      </c>
      <c r="AA505" s="32">
        <v>0</v>
      </c>
      <c r="AB505" s="32">
        <v>0</v>
      </c>
      <c r="AC505" s="32">
        <f t="shared" si="232"/>
        <v>49442.79</v>
      </c>
      <c r="AD505" s="32">
        <v>0</v>
      </c>
      <c r="AE505" s="32">
        <v>0</v>
      </c>
      <c r="AF505" s="35" t="s">
        <v>275</v>
      </c>
      <c r="AG505" s="35">
        <v>2020</v>
      </c>
      <c r="AH505" s="36">
        <v>2020</v>
      </c>
    </row>
    <row r="506" spans="1:46" ht="61.5" x14ac:dyDescent="0.85">
      <c r="B506" s="25" t="s">
        <v>911</v>
      </c>
      <c r="C506" s="25"/>
      <c r="D506" s="32">
        <f t="shared" ref="D506:AE506" si="233">D507</f>
        <v>4896000</v>
      </c>
      <c r="E506" s="32">
        <f t="shared" si="233"/>
        <v>0</v>
      </c>
      <c r="F506" s="32">
        <f t="shared" si="233"/>
        <v>0</v>
      </c>
      <c r="G506" s="32">
        <f t="shared" si="233"/>
        <v>0</v>
      </c>
      <c r="H506" s="32">
        <f t="shared" si="233"/>
        <v>0</v>
      </c>
      <c r="I506" s="32">
        <f t="shared" si="233"/>
        <v>0</v>
      </c>
      <c r="J506" s="32">
        <f t="shared" si="233"/>
        <v>0</v>
      </c>
      <c r="K506" s="34">
        <f t="shared" si="233"/>
        <v>0</v>
      </c>
      <c r="L506" s="32">
        <f t="shared" si="233"/>
        <v>0</v>
      </c>
      <c r="M506" s="32">
        <f t="shared" si="233"/>
        <v>960</v>
      </c>
      <c r="N506" s="32">
        <f t="shared" si="233"/>
        <v>4675862.07</v>
      </c>
      <c r="O506" s="32">
        <f t="shared" si="233"/>
        <v>0</v>
      </c>
      <c r="P506" s="32">
        <f t="shared" si="233"/>
        <v>0</v>
      </c>
      <c r="Q506" s="32">
        <f t="shared" si="233"/>
        <v>0</v>
      </c>
      <c r="R506" s="32">
        <f t="shared" si="233"/>
        <v>0</v>
      </c>
      <c r="S506" s="32">
        <f t="shared" si="233"/>
        <v>0</v>
      </c>
      <c r="T506" s="32">
        <f t="shared" si="233"/>
        <v>0</v>
      </c>
      <c r="U506" s="32">
        <f t="shared" si="233"/>
        <v>0</v>
      </c>
      <c r="V506" s="32">
        <f t="shared" si="233"/>
        <v>0</v>
      </c>
      <c r="W506" s="32">
        <f t="shared" si="233"/>
        <v>0</v>
      </c>
      <c r="X506" s="32">
        <f t="shared" si="233"/>
        <v>0</v>
      </c>
      <c r="Y506" s="32">
        <f t="shared" si="233"/>
        <v>0</v>
      </c>
      <c r="Z506" s="32">
        <f t="shared" si="233"/>
        <v>0</v>
      </c>
      <c r="AA506" s="32">
        <f t="shared" si="233"/>
        <v>0</v>
      </c>
      <c r="AB506" s="32">
        <f t="shared" si="233"/>
        <v>0</v>
      </c>
      <c r="AC506" s="32">
        <f t="shared" si="233"/>
        <v>70137.929999999993</v>
      </c>
      <c r="AD506" s="32">
        <f t="shared" si="233"/>
        <v>150000</v>
      </c>
      <c r="AE506" s="32">
        <f t="shared" si="233"/>
        <v>0</v>
      </c>
      <c r="AF506" s="77" t="s">
        <v>801</v>
      </c>
      <c r="AG506" s="77" t="s">
        <v>801</v>
      </c>
      <c r="AH506" s="107" t="s">
        <v>801</v>
      </c>
      <c r="AT506" s="21" t="e">
        <f t="shared" ref="AT506:AT514" si="234">VLOOKUP(C506,AW:AX,2,FALSE)</f>
        <v>#N/A</v>
      </c>
    </row>
    <row r="507" spans="1:46" ht="61.5" x14ac:dyDescent="0.85">
      <c r="A507" s="21">
        <v>1</v>
      </c>
      <c r="B507" s="70">
        <f>SUBTOTAL(103,$A$22:A507)</f>
        <v>427</v>
      </c>
      <c r="C507" s="25" t="s">
        <v>193</v>
      </c>
      <c r="D507" s="32">
        <f t="shared" ref="D507" si="235">E507+F507+G507+H507+I507+J507+L507+N507+P507+R507+T507+U507+V507+W507+X507+Y507+Z507+AA507+AB507+AC507+AD507+AE507</f>
        <v>4896000</v>
      </c>
      <c r="E507" s="32">
        <v>0</v>
      </c>
      <c r="F507" s="32">
        <v>0</v>
      </c>
      <c r="G507" s="32">
        <v>0</v>
      </c>
      <c r="H507" s="32">
        <v>0</v>
      </c>
      <c r="I507" s="32">
        <v>0</v>
      </c>
      <c r="J507" s="32">
        <v>0</v>
      </c>
      <c r="K507" s="34">
        <v>0</v>
      </c>
      <c r="L507" s="32">
        <v>0</v>
      </c>
      <c r="M507" s="32">
        <v>960</v>
      </c>
      <c r="N507" s="32">
        <v>4675862.07</v>
      </c>
      <c r="O507" s="32">
        <v>0</v>
      </c>
      <c r="P507" s="32">
        <v>0</v>
      </c>
      <c r="Q507" s="32">
        <v>0</v>
      </c>
      <c r="R507" s="32">
        <v>0</v>
      </c>
      <c r="S507" s="32">
        <v>0</v>
      </c>
      <c r="T507" s="32">
        <v>0</v>
      </c>
      <c r="U507" s="32">
        <v>0</v>
      </c>
      <c r="V507" s="32">
        <v>0</v>
      </c>
      <c r="W507" s="32">
        <v>0</v>
      </c>
      <c r="X507" s="32">
        <v>0</v>
      </c>
      <c r="Y507" s="32">
        <v>0</v>
      </c>
      <c r="Z507" s="32">
        <v>0</v>
      </c>
      <c r="AA507" s="32">
        <v>0</v>
      </c>
      <c r="AB507" s="32">
        <v>0</v>
      </c>
      <c r="AC507" s="32">
        <f>ROUND(N507*1.5%,2)</f>
        <v>70137.929999999993</v>
      </c>
      <c r="AD507" s="32">
        <v>150000</v>
      </c>
      <c r="AE507" s="32">
        <v>0</v>
      </c>
      <c r="AF507" s="35">
        <v>2020</v>
      </c>
      <c r="AG507" s="35">
        <v>2020</v>
      </c>
      <c r="AH507" s="36">
        <v>2020</v>
      </c>
      <c r="AT507" s="21" t="e">
        <f t="shared" si="234"/>
        <v>#N/A</v>
      </c>
    </row>
    <row r="508" spans="1:46" ht="61.5" x14ac:dyDescent="0.85">
      <c r="B508" s="25" t="s">
        <v>912</v>
      </c>
      <c r="C508" s="25"/>
      <c r="D508" s="32">
        <f t="shared" ref="D508:AE508" si="236">D509</f>
        <v>3170281.3600000003</v>
      </c>
      <c r="E508" s="32">
        <f t="shared" si="236"/>
        <v>0</v>
      </c>
      <c r="F508" s="32">
        <f t="shared" si="236"/>
        <v>0</v>
      </c>
      <c r="G508" s="32">
        <f t="shared" si="236"/>
        <v>0</v>
      </c>
      <c r="H508" s="32">
        <f t="shared" si="236"/>
        <v>0</v>
      </c>
      <c r="I508" s="32">
        <f t="shared" si="236"/>
        <v>0</v>
      </c>
      <c r="J508" s="32">
        <f t="shared" si="236"/>
        <v>0</v>
      </c>
      <c r="K508" s="34">
        <f t="shared" si="236"/>
        <v>0</v>
      </c>
      <c r="L508" s="32">
        <f t="shared" si="236"/>
        <v>0</v>
      </c>
      <c r="M508" s="32">
        <f t="shared" si="236"/>
        <v>747.12</v>
      </c>
      <c r="N508" s="32">
        <f t="shared" si="236"/>
        <v>3123429.91</v>
      </c>
      <c r="O508" s="32">
        <f t="shared" si="236"/>
        <v>0</v>
      </c>
      <c r="P508" s="32">
        <f t="shared" si="236"/>
        <v>0</v>
      </c>
      <c r="Q508" s="32">
        <f t="shared" si="236"/>
        <v>0</v>
      </c>
      <c r="R508" s="32">
        <f t="shared" si="236"/>
        <v>0</v>
      </c>
      <c r="S508" s="32">
        <f t="shared" si="236"/>
        <v>0</v>
      </c>
      <c r="T508" s="32">
        <f t="shared" si="236"/>
        <v>0</v>
      </c>
      <c r="U508" s="32">
        <f t="shared" si="236"/>
        <v>0</v>
      </c>
      <c r="V508" s="32">
        <f t="shared" si="236"/>
        <v>0</v>
      </c>
      <c r="W508" s="32">
        <f t="shared" si="236"/>
        <v>0</v>
      </c>
      <c r="X508" s="32">
        <f t="shared" si="236"/>
        <v>0</v>
      </c>
      <c r="Y508" s="32">
        <f t="shared" si="236"/>
        <v>0</v>
      </c>
      <c r="Z508" s="32">
        <f t="shared" si="236"/>
        <v>0</v>
      </c>
      <c r="AA508" s="32">
        <f t="shared" si="236"/>
        <v>0</v>
      </c>
      <c r="AB508" s="32">
        <f t="shared" si="236"/>
        <v>0</v>
      </c>
      <c r="AC508" s="32">
        <f t="shared" si="236"/>
        <v>46851.45</v>
      </c>
      <c r="AD508" s="32">
        <f t="shared" si="236"/>
        <v>0</v>
      </c>
      <c r="AE508" s="32">
        <f t="shared" si="236"/>
        <v>0</v>
      </c>
      <c r="AF508" s="77" t="s">
        <v>801</v>
      </c>
      <c r="AG508" s="77" t="s">
        <v>801</v>
      </c>
      <c r="AH508" s="107" t="s">
        <v>801</v>
      </c>
      <c r="AT508" s="21" t="e">
        <f t="shared" si="234"/>
        <v>#N/A</v>
      </c>
    </row>
    <row r="509" spans="1:46" ht="61.5" x14ac:dyDescent="0.85">
      <c r="A509" s="21">
        <v>1</v>
      </c>
      <c r="B509" s="70">
        <f>SUBTOTAL(103,$A$22:A509)</f>
        <v>428</v>
      </c>
      <c r="C509" s="25" t="s">
        <v>192</v>
      </c>
      <c r="D509" s="32">
        <f t="shared" ref="D509" si="237">E509+F509+G509+H509+I509+J509+L509+N509+P509+R509+T509+U509+V509+W509+X509+Y509+Z509+AA509+AB509+AC509+AD509+AE509</f>
        <v>3170281.3600000003</v>
      </c>
      <c r="E509" s="32">
        <v>0</v>
      </c>
      <c r="F509" s="32">
        <v>0</v>
      </c>
      <c r="G509" s="32">
        <v>0</v>
      </c>
      <c r="H509" s="32">
        <v>0</v>
      </c>
      <c r="I509" s="32">
        <v>0</v>
      </c>
      <c r="J509" s="32">
        <v>0</v>
      </c>
      <c r="K509" s="34">
        <v>0</v>
      </c>
      <c r="L509" s="32">
        <v>0</v>
      </c>
      <c r="M509" s="32">
        <v>747.12</v>
      </c>
      <c r="N509" s="32">
        <f>2975646.66+147783.25</f>
        <v>3123429.91</v>
      </c>
      <c r="O509" s="32">
        <v>0</v>
      </c>
      <c r="P509" s="32">
        <v>0</v>
      </c>
      <c r="Q509" s="32">
        <v>0</v>
      </c>
      <c r="R509" s="32">
        <v>0</v>
      </c>
      <c r="S509" s="32">
        <v>0</v>
      </c>
      <c r="T509" s="32">
        <v>0</v>
      </c>
      <c r="U509" s="32">
        <v>0</v>
      </c>
      <c r="V509" s="32">
        <v>0</v>
      </c>
      <c r="W509" s="32">
        <v>0</v>
      </c>
      <c r="X509" s="32">
        <v>0</v>
      </c>
      <c r="Y509" s="32">
        <v>0</v>
      </c>
      <c r="Z509" s="32">
        <v>0</v>
      </c>
      <c r="AA509" s="32">
        <v>0</v>
      </c>
      <c r="AB509" s="32">
        <v>0</v>
      </c>
      <c r="AC509" s="32">
        <f>ROUND(N509*1.5%,2)</f>
        <v>46851.45</v>
      </c>
      <c r="AD509" s="32">
        <v>0</v>
      </c>
      <c r="AE509" s="32">
        <v>0</v>
      </c>
      <c r="AF509" s="35" t="s">
        <v>275</v>
      </c>
      <c r="AG509" s="35">
        <v>2020</v>
      </c>
      <c r="AH509" s="36">
        <v>2020</v>
      </c>
      <c r="AT509" s="21" t="e">
        <f t="shared" si="234"/>
        <v>#N/A</v>
      </c>
    </row>
    <row r="510" spans="1:46" ht="61.5" x14ac:dyDescent="0.85">
      <c r="B510" s="25" t="s">
        <v>913</v>
      </c>
      <c r="C510" s="25"/>
      <c r="D510" s="32">
        <f t="shared" ref="D510:AE510" si="238">D511</f>
        <v>2706247</v>
      </c>
      <c r="E510" s="32">
        <f t="shared" si="238"/>
        <v>0</v>
      </c>
      <c r="F510" s="32">
        <f t="shared" si="238"/>
        <v>0</v>
      </c>
      <c r="G510" s="32">
        <f t="shared" si="238"/>
        <v>0</v>
      </c>
      <c r="H510" s="32">
        <f t="shared" si="238"/>
        <v>0</v>
      </c>
      <c r="I510" s="32">
        <f t="shared" si="238"/>
        <v>0</v>
      </c>
      <c r="J510" s="32">
        <f t="shared" si="238"/>
        <v>0</v>
      </c>
      <c r="K510" s="34">
        <f t="shared" si="238"/>
        <v>0</v>
      </c>
      <c r="L510" s="32">
        <f t="shared" si="238"/>
        <v>0</v>
      </c>
      <c r="M510" s="32">
        <f t="shared" si="238"/>
        <v>439</v>
      </c>
      <c r="N510" s="32">
        <f t="shared" si="238"/>
        <v>2548026.6</v>
      </c>
      <c r="O510" s="32">
        <f t="shared" si="238"/>
        <v>0</v>
      </c>
      <c r="P510" s="32">
        <f t="shared" si="238"/>
        <v>0</v>
      </c>
      <c r="Q510" s="32">
        <f t="shared" si="238"/>
        <v>0</v>
      </c>
      <c r="R510" s="32">
        <f t="shared" si="238"/>
        <v>0</v>
      </c>
      <c r="S510" s="32">
        <f t="shared" si="238"/>
        <v>0</v>
      </c>
      <c r="T510" s="32">
        <f t="shared" si="238"/>
        <v>0</v>
      </c>
      <c r="U510" s="32">
        <f t="shared" si="238"/>
        <v>0</v>
      </c>
      <c r="V510" s="32">
        <f t="shared" si="238"/>
        <v>0</v>
      </c>
      <c r="W510" s="32">
        <f t="shared" si="238"/>
        <v>0</v>
      </c>
      <c r="X510" s="32">
        <f t="shared" si="238"/>
        <v>0</v>
      </c>
      <c r="Y510" s="32">
        <f t="shared" si="238"/>
        <v>0</v>
      </c>
      <c r="Z510" s="32">
        <f t="shared" si="238"/>
        <v>0</v>
      </c>
      <c r="AA510" s="32">
        <f t="shared" si="238"/>
        <v>0</v>
      </c>
      <c r="AB510" s="32">
        <f t="shared" si="238"/>
        <v>0</v>
      </c>
      <c r="AC510" s="32">
        <f t="shared" si="238"/>
        <v>38220.400000000001</v>
      </c>
      <c r="AD510" s="32">
        <f t="shared" si="238"/>
        <v>120000</v>
      </c>
      <c r="AE510" s="32">
        <f t="shared" si="238"/>
        <v>0</v>
      </c>
      <c r="AF510" s="77" t="s">
        <v>801</v>
      </c>
      <c r="AG510" s="77" t="s">
        <v>801</v>
      </c>
      <c r="AH510" s="107" t="s">
        <v>801</v>
      </c>
      <c r="AT510" s="21" t="e">
        <f t="shared" si="234"/>
        <v>#N/A</v>
      </c>
    </row>
    <row r="511" spans="1:46" ht="61.5" x14ac:dyDescent="0.85">
      <c r="A511" s="21">
        <v>1</v>
      </c>
      <c r="B511" s="70">
        <f>SUBTOTAL(103,$A$22:A511)</f>
        <v>429</v>
      </c>
      <c r="C511" s="25" t="s">
        <v>191</v>
      </c>
      <c r="D511" s="32">
        <f t="shared" ref="D511" si="239">E511+F511+G511+H511+I511+J511+L511+N511+P511+R511+T511+U511+V511+W511+X511+Y511+Z511+AA511+AB511+AC511+AD511+AE511</f>
        <v>2706247</v>
      </c>
      <c r="E511" s="32">
        <v>0</v>
      </c>
      <c r="F511" s="32">
        <v>0</v>
      </c>
      <c r="G511" s="32">
        <v>0</v>
      </c>
      <c r="H511" s="32">
        <v>0</v>
      </c>
      <c r="I511" s="32">
        <v>0</v>
      </c>
      <c r="J511" s="32">
        <v>0</v>
      </c>
      <c r="K511" s="34">
        <v>0</v>
      </c>
      <c r="L511" s="32">
        <v>0</v>
      </c>
      <c r="M511" s="32">
        <v>439</v>
      </c>
      <c r="N511" s="32">
        <f>2087586.21+460440.39</f>
        <v>2548026.6</v>
      </c>
      <c r="O511" s="32">
        <v>0</v>
      </c>
      <c r="P511" s="32">
        <v>0</v>
      </c>
      <c r="Q511" s="32">
        <v>0</v>
      </c>
      <c r="R511" s="32">
        <v>0</v>
      </c>
      <c r="S511" s="32">
        <v>0</v>
      </c>
      <c r="T511" s="32">
        <v>0</v>
      </c>
      <c r="U511" s="32">
        <v>0</v>
      </c>
      <c r="V511" s="32">
        <v>0</v>
      </c>
      <c r="W511" s="32">
        <v>0</v>
      </c>
      <c r="X511" s="32">
        <v>0</v>
      </c>
      <c r="Y511" s="32">
        <v>0</v>
      </c>
      <c r="Z511" s="32">
        <v>0</v>
      </c>
      <c r="AA511" s="32">
        <v>0</v>
      </c>
      <c r="AB511" s="32">
        <v>0</v>
      </c>
      <c r="AC511" s="32">
        <f>ROUND(N511*1.5%,2)</f>
        <v>38220.400000000001</v>
      </c>
      <c r="AD511" s="32">
        <v>120000</v>
      </c>
      <c r="AE511" s="32">
        <v>0</v>
      </c>
      <c r="AF511" s="35">
        <v>2020</v>
      </c>
      <c r="AG511" s="35">
        <v>2020</v>
      </c>
      <c r="AH511" s="36">
        <v>2020</v>
      </c>
      <c r="AT511" s="21" t="e">
        <f t="shared" si="234"/>
        <v>#N/A</v>
      </c>
    </row>
    <row r="512" spans="1:46" ht="61.5" x14ac:dyDescent="0.85">
      <c r="B512" s="25" t="s">
        <v>914</v>
      </c>
      <c r="C512" s="110"/>
      <c r="D512" s="32">
        <f>SUM(D513:D518)</f>
        <v>17095245.41</v>
      </c>
      <c r="E512" s="32">
        <f t="shared" ref="E512:AE512" si="240">SUM(E513:E518)</f>
        <v>0</v>
      </c>
      <c r="F512" s="32">
        <f t="shared" si="240"/>
        <v>0</v>
      </c>
      <c r="G512" s="32">
        <f t="shared" si="240"/>
        <v>10959552.119999999</v>
      </c>
      <c r="H512" s="32">
        <f t="shared" si="240"/>
        <v>0</v>
      </c>
      <c r="I512" s="32">
        <f t="shared" si="240"/>
        <v>0</v>
      </c>
      <c r="J512" s="32">
        <f t="shared" si="240"/>
        <v>0</v>
      </c>
      <c r="K512" s="34">
        <f t="shared" si="240"/>
        <v>0</v>
      </c>
      <c r="L512" s="32">
        <f t="shared" si="240"/>
        <v>0</v>
      </c>
      <c r="M512" s="32">
        <f t="shared" si="240"/>
        <v>1163</v>
      </c>
      <c r="N512" s="32">
        <f t="shared" si="240"/>
        <v>5666305.4199999999</v>
      </c>
      <c r="O512" s="32">
        <f t="shared" si="240"/>
        <v>0</v>
      </c>
      <c r="P512" s="32">
        <f t="shared" si="240"/>
        <v>0</v>
      </c>
      <c r="Q512" s="32">
        <f t="shared" si="240"/>
        <v>0</v>
      </c>
      <c r="R512" s="32">
        <f t="shared" si="240"/>
        <v>0</v>
      </c>
      <c r="S512" s="32">
        <f t="shared" si="240"/>
        <v>0</v>
      </c>
      <c r="T512" s="32">
        <f t="shared" si="240"/>
        <v>0</v>
      </c>
      <c r="U512" s="32">
        <f t="shared" si="240"/>
        <v>0</v>
      </c>
      <c r="V512" s="32">
        <f t="shared" si="240"/>
        <v>0</v>
      </c>
      <c r="W512" s="32">
        <f t="shared" si="240"/>
        <v>0</v>
      </c>
      <c r="X512" s="32">
        <f t="shared" si="240"/>
        <v>0</v>
      </c>
      <c r="Y512" s="32">
        <f t="shared" si="240"/>
        <v>0</v>
      </c>
      <c r="Z512" s="32">
        <f t="shared" si="240"/>
        <v>0</v>
      </c>
      <c r="AA512" s="32">
        <f t="shared" si="240"/>
        <v>0</v>
      </c>
      <c r="AB512" s="32">
        <f t="shared" si="240"/>
        <v>0</v>
      </c>
      <c r="AC512" s="32">
        <f t="shared" si="240"/>
        <v>249387.87</v>
      </c>
      <c r="AD512" s="32">
        <f t="shared" si="240"/>
        <v>220000</v>
      </c>
      <c r="AE512" s="32">
        <f t="shared" si="240"/>
        <v>0</v>
      </c>
      <c r="AF512" s="77" t="s">
        <v>801</v>
      </c>
      <c r="AG512" s="77" t="s">
        <v>801</v>
      </c>
      <c r="AH512" s="107" t="s">
        <v>801</v>
      </c>
      <c r="AT512" s="21" t="e">
        <f t="shared" si="234"/>
        <v>#N/A</v>
      </c>
    </row>
    <row r="513" spans="1:46" ht="61.5" x14ac:dyDescent="0.85">
      <c r="A513" s="21">
        <v>1</v>
      </c>
      <c r="B513" s="70">
        <f>SUBTOTAL(103,$A$22:A513)</f>
        <v>430</v>
      </c>
      <c r="C513" s="25" t="s">
        <v>222</v>
      </c>
      <c r="D513" s="32">
        <f t="shared" ref="D513:D518" si="241">E513+F513+G513+H513+I513+J513+L513+N513+P513+R513+T513+U513+V513+W513+X513+Y513+Z513+AA513+AB513+AC513+AD513+AE513</f>
        <v>5918262.9900000002</v>
      </c>
      <c r="E513" s="32">
        <v>0</v>
      </c>
      <c r="F513" s="32">
        <v>0</v>
      </c>
      <c r="G513" s="32">
        <v>0</v>
      </c>
      <c r="H513" s="32">
        <v>0</v>
      </c>
      <c r="I513" s="32">
        <v>0</v>
      </c>
      <c r="J513" s="32">
        <v>0</v>
      </c>
      <c r="K513" s="34">
        <v>0</v>
      </c>
      <c r="L513" s="32">
        <v>0</v>
      </c>
      <c r="M513" s="32">
        <v>1163</v>
      </c>
      <c r="N513" s="32">
        <v>5666305.4199999999</v>
      </c>
      <c r="O513" s="32">
        <v>0</v>
      </c>
      <c r="P513" s="32">
        <v>0</v>
      </c>
      <c r="Q513" s="32">
        <v>0</v>
      </c>
      <c r="R513" s="32">
        <v>0</v>
      </c>
      <c r="S513" s="32">
        <v>0</v>
      </c>
      <c r="T513" s="32">
        <v>0</v>
      </c>
      <c r="U513" s="32">
        <v>0</v>
      </c>
      <c r="V513" s="32">
        <v>0</v>
      </c>
      <c r="W513" s="32">
        <v>0</v>
      </c>
      <c r="X513" s="32">
        <v>0</v>
      </c>
      <c r="Y513" s="32">
        <v>0</v>
      </c>
      <c r="Z513" s="32">
        <v>0</v>
      </c>
      <c r="AA513" s="32">
        <v>0</v>
      </c>
      <c r="AB513" s="32">
        <v>0</v>
      </c>
      <c r="AC513" s="32">
        <f>ROUND(N513*1.5%,2)</f>
        <v>84994.58</v>
      </c>
      <c r="AD513" s="32">
        <f>156962.99+10000</f>
        <v>166962.99</v>
      </c>
      <c r="AE513" s="32">
        <v>0</v>
      </c>
      <c r="AF513" s="35">
        <v>2020</v>
      </c>
      <c r="AG513" s="35">
        <v>2020</v>
      </c>
      <c r="AH513" s="36">
        <v>2020</v>
      </c>
      <c r="AT513" s="21" t="e">
        <f t="shared" si="234"/>
        <v>#N/A</v>
      </c>
    </row>
    <row r="514" spans="1:46" ht="61.5" x14ac:dyDescent="0.85">
      <c r="A514" s="21">
        <v>1</v>
      </c>
      <c r="B514" s="70">
        <f>SUBTOTAL(103,$A$22:A514)</f>
        <v>431</v>
      </c>
      <c r="C514" s="25" t="s">
        <v>223</v>
      </c>
      <c r="D514" s="32">
        <f t="shared" si="241"/>
        <v>706896.33000000007</v>
      </c>
      <c r="E514" s="32">
        <v>0</v>
      </c>
      <c r="F514" s="32">
        <v>0</v>
      </c>
      <c r="G514" s="32">
        <f>378568.09+265628.28</f>
        <v>644196.37000000011</v>
      </c>
      <c r="H514" s="32">
        <v>0</v>
      </c>
      <c r="I514" s="32">
        <v>0</v>
      </c>
      <c r="J514" s="32">
        <v>0</v>
      </c>
      <c r="K514" s="34">
        <v>0</v>
      </c>
      <c r="L514" s="32">
        <v>0</v>
      </c>
      <c r="M514" s="32">
        <v>0</v>
      </c>
      <c r="N514" s="32">
        <v>0</v>
      </c>
      <c r="O514" s="32">
        <v>0</v>
      </c>
      <c r="P514" s="32">
        <v>0</v>
      </c>
      <c r="Q514" s="32">
        <v>0</v>
      </c>
      <c r="R514" s="32">
        <v>0</v>
      </c>
      <c r="S514" s="32">
        <v>0</v>
      </c>
      <c r="T514" s="32">
        <v>0</v>
      </c>
      <c r="U514" s="32">
        <v>0</v>
      </c>
      <c r="V514" s="32">
        <v>0</v>
      </c>
      <c r="W514" s="32">
        <v>0</v>
      </c>
      <c r="X514" s="32">
        <v>0</v>
      </c>
      <c r="Y514" s="32">
        <v>0</v>
      </c>
      <c r="Z514" s="32">
        <v>0</v>
      </c>
      <c r="AA514" s="32">
        <v>0</v>
      </c>
      <c r="AB514" s="32">
        <v>0</v>
      </c>
      <c r="AC514" s="32">
        <f t="shared" ref="AC514:AC518" si="242">ROUND((E514+F514+G514+H514+I514+J514)*1.5%,2)</f>
        <v>9662.9500000000007</v>
      </c>
      <c r="AD514" s="32">
        <f>46664.6+6372.41</f>
        <v>53037.009999999995</v>
      </c>
      <c r="AE514" s="32">
        <v>0</v>
      </c>
      <c r="AF514" s="35">
        <v>2020</v>
      </c>
      <c r="AG514" s="35">
        <v>2020</v>
      </c>
      <c r="AH514" s="36">
        <v>2020</v>
      </c>
      <c r="AT514" s="21" t="e">
        <f t="shared" si="234"/>
        <v>#N/A</v>
      </c>
    </row>
    <row r="515" spans="1:46" ht="61.5" x14ac:dyDescent="0.85">
      <c r="A515" s="21">
        <v>1</v>
      </c>
      <c r="B515" s="70">
        <f>SUBTOTAL(103,$A$22:A515)</f>
        <v>432</v>
      </c>
      <c r="C515" s="25" t="s">
        <v>1366</v>
      </c>
      <c r="D515" s="32">
        <f t="shared" si="241"/>
        <v>3239861.98</v>
      </c>
      <c r="E515" s="32">
        <v>0</v>
      </c>
      <c r="F515" s="32">
        <v>0</v>
      </c>
      <c r="G515" s="32">
        <v>3191982.25</v>
      </c>
      <c r="H515" s="32">
        <v>0</v>
      </c>
      <c r="I515" s="32">
        <v>0</v>
      </c>
      <c r="J515" s="32">
        <v>0</v>
      </c>
      <c r="K515" s="34">
        <v>0</v>
      </c>
      <c r="L515" s="32">
        <v>0</v>
      </c>
      <c r="M515" s="32">
        <v>0</v>
      </c>
      <c r="N515" s="32">
        <v>0</v>
      </c>
      <c r="O515" s="32">
        <v>0</v>
      </c>
      <c r="P515" s="32">
        <v>0</v>
      </c>
      <c r="Q515" s="32">
        <v>0</v>
      </c>
      <c r="R515" s="32">
        <v>0</v>
      </c>
      <c r="S515" s="32">
        <v>0</v>
      </c>
      <c r="T515" s="32">
        <v>0</v>
      </c>
      <c r="U515" s="32">
        <v>0</v>
      </c>
      <c r="V515" s="32">
        <v>0</v>
      </c>
      <c r="W515" s="32">
        <v>0</v>
      </c>
      <c r="X515" s="32">
        <v>0</v>
      </c>
      <c r="Y515" s="32">
        <v>0</v>
      </c>
      <c r="Z515" s="32">
        <v>0</v>
      </c>
      <c r="AA515" s="32">
        <v>0</v>
      </c>
      <c r="AB515" s="32">
        <v>0</v>
      </c>
      <c r="AC515" s="32">
        <f t="shared" si="242"/>
        <v>47879.73</v>
      </c>
      <c r="AD515" s="32">
        <v>0</v>
      </c>
      <c r="AE515" s="32">
        <v>0</v>
      </c>
      <c r="AF515" s="35" t="s">
        <v>275</v>
      </c>
      <c r="AG515" s="35">
        <v>2020</v>
      </c>
      <c r="AH515" s="36">
        <v>2020</v>
      </c>
    </row>
    <row r="516" spans="1:46" ht="61.5" x14ac:dyDescent="0.85">
      <c r="A516" s="21">
        <v>1</v>
      </c>
      <c r="B516" s="70">
        <f>SUBTOTAL(103,$A$22:A516)</f>
        <v>433</v>
      </c>
      <c r="C516" s="25" t="s">
        <v>1367</v>
      </c>
      <c r="D516" s="32">
        <f t="shared" si="241"/>
        <v>2323778.17</v>
      </c>
      <c r="E516" s="32">
        <v>0</v>
      </c>
      <c r="F516" s="32">
        <v>0</v>
      </c>
      <c r="G516" s="32">
        <v>2289436.62</v>
      </c>
      <c r="H516" s="32">
        <v>0</v>
      </c>
      <c r="I516" s="32">
        <v>0</v>
      </c>
      <c r="J516" s="32">
        <v>0</v>
      </c>
      <c r="K516" s="34">
        <v>0</v>
      </c>
      <c r="L516" s="32">
        <v>0</v>
      </c>
      <c r="M516" s="32">
        <v>0</v>
      </c>
      <c r="N516" s="32">
        <v>0</v>
      </c>
      <c r="O516" s="32">
        <v>0</v>
      </c>
      <c r="P516" s="32">
        <v>0</v>
      </c>
      <c r="Q516" s="32">
        <v>0</v>
      </c>
      <c r="R516" s="32">
        <v>0</v>
      </c>
      <c r="S516" s="32">
        <v>0</v>
      </c>
      <c r="T516" s="32">
        <v>0</v>
      </c>
      <c r="U516" s="32">
        <v>0</v>
      </c>
      <c r="V516" s="32">
        <v>0</v>
      </c>
      <c r="W516" s="32">
        <v>0</v>
      </c>
      <c r="X516" s="32">
        <v>0</v>
      </c>
      <c r="Y516" s="32">
        <v>0</v>
      </c>
      <c r="Z516" s="32">
        <v>0</v>
      </c>
      <c r="AA516" s="32">
        <v>0</v>
      </c>
      <c r="AB516" s="32">
        <v>0</v>
      </c>
      <c r="AC516" s="32">
        <f t="shared" si="242"/>
        <v>34341.550000000003</v>
      </c>
      <c r="AD516" s="32">
        <v>0</v>
      </c>
      <c r="AE516" s="32">
        <v>0</v>
      </c>
      <c r="AF516" s="35" t="s">
        <v>275</v>
      </c>
      <c r="AG516" s="35">
        <v>2020</v>
      </c>
      <c r="AH516" s="36">
        <v>2020</v>
      </c>
    </row>
    <row r="517" spans="1:46" ht="61.5" x14ac:dyDescent="0.85">
      <c r="A517" s="21">
        <v>1</v>
      </c>
      <c r="B517" s="70">
        <f>SUBTOTAL(103,$A$22:A517)</f>
        <v>434</v>
      </c>
      <c r="C517" s="25" t="s">
        <v>1368</v>
      </c>
      <c r="D517" s="32">
        <f t="shared" si="241"/>
        <v>1985940.6099999996</v>
      </c>
      <c r="E517" s="32">
        <v>0</v>
      </c>
      <c r="F517" s="32">
        <v>0</v>
      </c>
      <c r="G517" s="32">
        <v>1956591.7299999997</v>
      </c>
      <c r="H517" s="32">
        <v>0</v>
      </c>
      <c r="I517" s="32">
        <v>0</v>
      </c>
      <c r="J517" s="32">
        <v>0</v>
      </c>
      <c r="K517" s="34">
        <v>0</v>
      </c>
      <c r="L517" s="32">
        <v>0</v>
      </c>
      <c r="M517" s="32">
        <v>0</v>
      </c>
      <c r="N517" s="32">
        <v>0</v>
      </c>
      <c r="O517" s="32">
        <v>0</v>
      </c>
      <c r="P517" s="32">
        <v>0</v>
      </c>
      <c r="Q517" s="32">
        <v>0</v>
      </c>
      <c r="R517" s="32">
        <v>0</v>
      </c>
      <c r="S517" s="32">
        <v>0</v>
      </c>
      <c r="T517" s="32">
        <v>0</v>
      </c>
      <c r="U517" s="32">
        <v>0</v>
      </c>
      <c r="V517" s="32">
        <v>0</v>
      </c>
      <c r="W517" s="32">
        <v>0</v>
      </c>
      <c r="X517" s="32">
        <v>0</v>
      </c>
      <c r="Y517" s="32">
        <v>0</v>
      </c>
      <c r="Z517" s="32">
        <v>0</v>
      </c>
      <c r="AA517" s="32">
        <v>0</v>
      </c>
      <c r="AB517" s="32">
        <v>0</v>
      </c>
      <c r="AC517" s="32">
        <f t="shared" si="242"/>
        <v>29348.880000000001</v>
      </c>
      <c r="AD517" s="32">
        <v>0</v>
      </c>
      <c r="AE517" s="32">
        <v>0</v>
      </c>
      <c r="AF517" s="35" t="s">
        <v>275</v>
      </c>
      <c r="AG517" s="35">
        <v>2020</v>
      </c>
      <c r="AH517" s="36">
        <v>2020</v>
      </c>
    </row>
    <row r="518" spans="1:46" ht="61.5" x14ac:dyDescent="0.85">
      <c r="A518" s="21">
        <v>1</v>
      </c>
      <c r="B518" s="70">
        <f>SUBTOTAL(103,$A$22:A518)</f>
        <v>435</v>
      </c>
      <c r="C518" s="25" t="s">
        <v>1369</v>
      </c>
      <c r="D518" s="32">
        <f t="shared" si="241"/>
        <v>2920505.33</v>
      </c>
      <c r="E518" s="32">
        <v>0</v>
      </c>
      <c r="F518" s="32">
        <v>0</v>
      </c>
      <c r="G518" s="32">
        <v>2877345.15</v>
      </c>
      <c r="H518" s="32">
        <v>0</v>
      </c>
      <c r="I518" s="32">
        <v>0</v>
      </c>
      <c r="J518" s="32">
        <v>0</v>
      </c>
      <c r="K518" s="34">
        <v>0</v>
      </c>
      <c r="L518" s="32">
        <v>0</v>
      </c>
      <c r="M518" s="32">
        <v>0</v>
      </c>
      <c r="N518" s="32">
        <v>0</v>
      </c>
      <c r="O518" s="32">
        <v>0</v>
      </c>
      <c r="P518" s="32">
        <v>0</v>
      </c>
      <c r="Q518" s="32">
        <v>0</v>
      </c>
      <c r="R518" s="32">
        <v>0</v>
      </c>
      <c r="S518" s="32">
        <v>0</v>
      </c>
      <c r="T518" s="32">
        <v>0</v>
      </c>
      <c r="U518" s="32">
        <v>0</v>
      </c>
      <c r="V518" s="32">
        <v>0</v>
      </c>
      <c r="W518" s="32">
        <v>0</v>
      </c>
      <c r="X518" s="32">
        <v>0</v>
      </c>
      <c r="Y518" s="32">
        <v>0</v>
      </c>
      <c r="Z518" s="32">
        <v>0</v>
      </c>
      <c r="AA518" s="32">
        <v>0</v>
      </c>
      <c r="AB518" s="32">
        <v>0</v>
      </c>
      <c r="AC518" s="32">
        <f t="shared" si="242"/>
        <v>43160.18</v>
      </c>
      <c r="AD518" s="32">
        <v>0</v>
      </c>
      <c r="AE518" s="32">
        <v>0</v>
      </c>
      <c r="AF518" s="35" t="s">
        <v>275</v>
      </c>
      <c r="AG518" s="35">
        <v>2020</v>
      </c>
      <c r="AH518" s="36">
        <v>2020</v>
      </c>
    </row>
    <row r="519" spans="1:46" ht="61.5" x14ac:dyDescent="0.85">
      <c r="B519" s="25" t="s">
        <v>915</v>
      </c>
      <c r="C519" s="25"/>
      <c r="D519" s="32">
        <f>SUM(D520:D524)</f>
        <v>7944432.1499999994</v>
      </c>
      <c r="E519" s="32">
        <f t="shared" ref="E519:AE519" si="243">SUM(E520:E524)</f>
        <v>0</v>
      </c>
      <c r="F519" s="32">
        <f t="shared" si="243"/>
        <v>0</v>
      </c>
      <c r="G519" s="32">
        <f t="shared" si="243"/>
        <v>0</v>
      </c>
      <c r="H519" s="32">
        <f t="shared" si="243"/>
        <v>440278.05</v>
      </c>
      <c r="I519" s="32">
        <f t="shared" si="243"/>
        <v>0</v>
      </c>
      <c r="J519" s="32">
        <f t="shared" si="243"/>
        <v>0</v>
      </c>
      <c r="K519" s="34">
        <f t="shared" si="243"/>
        <v>0</v>
      </c>
      <c r="L519" s="32">
        <f t="shared" si="243"/>
        <v>0</v>
      </c>
      <c r="M519" s="32">
        <f t="shared" si="243"/>
        <v>910</v>
      </c>
      <c r="N519" s="32">
        <f t="shared" si="243"/>
        <v>4617733.99</v>
      </c>
      <c r="O519" s="32">
        <f t="shared" si="243"/>
        <v>0</v>
      </c>
      <c r="P519" s="32">
        <f t="shared" si="243"/>
        <v>0</v>
      </c>
      <c r="Q519" s="32">
        <f t="shared" si="243"/>
        <v>0</v>
      </c>
      <c r="R519" s="32">
        <f t="shared" si="243"/>
        <v>0</v>
      </c>
      <c r="S519" s="32">
        <f t="shared" si="243"/>
        <v>0</v>
      </c>
      <c r="T519" s="32">
        <f t="shared" si="243"/>
        <v>0</v>
      </c>
      <c r="U519" s="32">
        <f t="shared" si="243"/>
        <v>2227165.3199999998</v>
      </c>
      <c r="V519" s="32">
        <f t="shared" si="243"/>
        <v>0</v>
      </c>
      <c r="W519" s="32">
        <f t="shared" si="243"/>
        <v>0</v>
      </c>
      <c r="X519" s="32">
        <f t="shared" si="243"/>
        <v>0</v>
      </c>
      <c r="Y519" s="32">
        <f t="shared" si="243"/>
        <v>0</v>
      </c>
      <c r="Z519" s="32">
        <f t="shared" si="243"/>
        <v>0</v>
      </c>
      <c r="AA519" s="32">
        <f t="shared" si="243"/>
        <v>0</v>
      </c>
      <c r="AB519" s="32">
        <f t="shared" si="243"/>
        <v>0</v>
      </c>
      <c r="AC519" s="32">
        <f t="shared" si="243"/>
        <v>109254.79000000001</v>
      </c>
      <c r="AD519" s="32">
        <f t="shared" si="243"/>
        <v>550000</v>
      </c>
      <c r="AE519" s="32">
        <f t="shared" si="243"/>
        <v>0</v>
      </c>
      <c r="AF519" s="77" t="s">
        <v>801</v>
      </c>
      <c r="AG519" s="77" t="s">
        <v>801</v>
      </c>
      <c r="AH519" s="107" t="s">
        <v>801</v>
      </c>
      <c r="AT519" s="21" t="e">
        <f>VLOOKUP(C519,AW:AX,2,FALSE)</f>
        <v>#N/A</v>
      </c>
    </row>
    <row r="520" spans="1:46" ht="61.5" x14ac:dyDescent="0.85">
      <c r="A520" s="21">
        <v>1</v>
      </c>
      <c r="B520" s="70">
        <f>SUBTOTAL(103,$A$22:A520)</f>
        <v>436</v>
      </c>
      <c r="C520" s="25" t="s">
        <v>225</v>
      </c>
      <c r="D520" s="32">
        <f t="shared" ref="D520:D524" si="244">E520+F520+G520+H520+I520+J520+L520+N520+P520+R520+T520+U520+V520+W520+X520+Y520+Z520+AA520+AB520+AC520+AD520+AE520</f>
        <v>197289.34</v>
      </c>
      <c r="E520" s="32">
        <v>0</v>
      </c>
      <c r="F520" s="32">
        <v>0</v>
      </c>
      <c r="G520" s="32">
        <v>0</v>
      </c>
      <c r="H520" s="32">
        <v>135260.43</v>
      </c>
      <c r="I520" s="32">
        <v>0</v>
      </c>
      <c r="J520" s="32">
        <v>0</v>
      </c>
      <c r="K520" s="34">
        <v>0</v>
      </c>
      <c r="L520" s="32">
        <v>0</v>
      </c>
      <c r="M520" s="32">
        <v>0</v>
      </c>
      <c r="N520" s="32">
        <v>0</v>
      </c>
      <c r="O520" s="32">
        <v>0</v>
      </c>
      <c r="P520" s="32">
        <v>0</v>
      </c>
      <c r="Q520" s="32">
        <v>0</v>
      </c>
      <c r="R520" s="32">
        <v>0</v>
      </c>
      <c r="S520" s="32">
        <v>0</v>
      </c>
      <c r="T520" s="32">
        <v>0</v>
      </c>
      <c r="U520" s="32">
        <v>0</v>
      </c>
      <c r="V520" s="32">
        <v>0</v>
      </c>
      <c r="W520" s="32">
        <v>0</v>
      </c>
      <c r="X520" s="32">
        <v>0</v>
      </c>
      <c r="Y520" s="32">
        <v>0</v>
      </c>
      <c r="Z520" s="32">
        <v>0</v>
      </c>
      <c r="AA520" s="32">
        <v>0</v>
      </c>
      <c r="AB520" s="32">
        <v>0</v>
      </c>
      <c r="AC520" s="32">
        <f>ROUND((E520+F520+G520+H520+I520+J520)*1.5%,2)</f>
        <v>2028.91</v>
      </c>
      <c r="AD520" s="32">
        <v>60000</v>
      </c>
      <c r="AE520" s="32">
        <v>0</v>
      </c>
      <c r="AF520" s="35">
        <v>2020</v>
      </c>
      <c r="AG520" s="35">
        <v>2020</v>
      </c>
      <c r="AH520" s="36">
        <v>2020</v>
      </c>
      <c r="AT520" s="21" t="e">
        <f>VLOOKUP(C520,AW:AX,2,FALSE)</f>
        <v>#N/A</v>
      </c>
    </row>
    <row r="521" spans="1:46" ht="61.5" x14ac:dyDescent="0.85">
      <c r="A521" s="21">
        <v>1</v>
      </c>
      <c r="B521" s="70">
        <f>SUBTOTAL(103,$A$22:A521)</f>
        <v>437</v>
      </c>
      <c r="C521" s="25" t="s">
        <v>226</v>
      </c>
      <c r="D521" s="32">
        <f t="shared" si="244"/>
        <v>3417000</v>
      </c>
      <c r="E521" s="32">
        <v>0</v>
      </c>
      <c r="F521" s="32">
        <v>0</v>
      </c>
      <c r="G521" s="32">
        <v>0</v>
      </c>
      <c r="H521" s="32">
        <v>0</v>
      </c>
      <c r="I521" s="32">
        <v>0</v>
      </c>
      <c r="J521" s="32">
        <v>0</v>
      </c>
      <c r="K521" s="34">
        <v>0</v>
      </c>
      <c r="L521" s="32">
        <v>0</v>
      </c>
      <c r="M521" s="32">
        <v>670</v>
      </c>
      <c r="N521" s="32">
        <v>3218719.21</v>
      </c>
      <c r="O521" s="32">
        <v>0</v>
      </c>
      <c r="P521" s="32">
        <v>0</v>
      </c>
      <c r="Q521" s="32">
        <v>0</v>
      </c>
      <c r="R521" s="32">
        <v>0</v>
      </c>
      <c r="S521" s="32">
        <v>0</v>
      </c>
      <c r="T521" s="32">
        <v>0</v>
      </c>
      <c r="U521" s="32">
        <v>0</v>
      </c>
      <c r="V521" s="32">
        <v>0</v>
      </c>
      <c r="W521" s="32">
        <v>0</v>
      </c>
      <c r="X521" s="32">
        <v>0</v>
      </c>
      <c r="Y521" s="32">
        <v>0</v>
      </c>
      <c r="Z521" s="32">
        <v>0</v>
      </c>
      <c r="AA521" s="32">
        <v>0</v>
      </c>
      <c r="AB521" s="32">
        <v>0</v>
      </c>
      <c r="AC521" s="32">
        <f>ROUND(N521*1.5%,2)</f>
        <v>48280.79</v>
      </c>
      <c r="AD521" s="32">
        <v>150000</v>
      </c>
      <c r="AE521" s="32">
        <v>0</v>
      </c>
      <c r="AF521" s="35">
        <v>2020</v>
      </c>
      <c r="AG521" s="35">
        <v>2020</v>
      </c>
      <c r="AH521" s="36">
        <v>2020</v>
      </c>
      <c r="AT521" s="21" t="e">
        <f>VLOOKUP(C521,AW:AX,2,FALSE)</f>
        <v>#N/A</v>
      </c>
    </row>
    <row r="522" spans="1:46" ht="61.5" x14ac:dyDescent="0.85">
      <c r="A522" s="21">
        <v>1</v>
      </c>
      <c r="B522" s="70">
        <f>SUBTOTAL(103,$A$22:A522)</f>
        <v>438</v>
      </c>
      <c r="C522" s="25" t="s">
        <v>231</v>
      </c>
      <c r="D522" s="32">
        <f t="shared" si="244"/>
        <v>2510572.7999999998</v>
      </c>
      <c r="E522" s="32">
        <v>0</v>
      </c>
      <c r="F522" s="32">
        <v>0</v>
      </c>
      <c r="G522" s="32">
        <v>0</v>
      </c>
      <c r="H522" s="32">
        <v>0</v>
      </c>
      <c r="I522" s="32">
        <v>0</v>
      </c>
      <c r="J522" s="32">
        <v>0</v>
      </c>
      <c r="K522" s="34">
        <v>0</v>
      </c>
      <c r="L522" s="32">
        <v>0</v>
      </c>
      <c r="M522" s="32">
        <v>0</v>
      </c>
      <c r="N522" s="32">
        <v>0</v>
      </c>
      <c r="O522" s="32">
        <v>0</v>
      </c>
      <c r="P522" s="32">
        <v>0</v>
      </c>
      <c r="Q522" s="32">
        <v>0</v>
      </c>
      <c r="R522" s="32">
        <v>0</v>
      </c>
      <c r="S522" s="32">
        <v>0</v>
      </c>
      <c r="T522" s="32">
        <v>0</v>
      </c>
      <c r="U522" s="32">
        <v>2227165.3199999998</v>
      </c>
      <c r="V522" s="32">
        <v>0</v>
      </c>
      <c r="W522" s="32">
        <v>0</v>
      </c>
      <c r="X522" s="32">
        <v>0</v>
      </c>
      <c r="Y522" s="32">
        <v>0</v>
      </c>
      <c r="Z522" s="32">
        <v>0</v>
      </c>
      <c r="AA522" s="32">
        <v>0</v>
      </c>
      <c r="AB522" s="32">
        <v>0</v>
      </c>
      <c r="AC522" s="32">
        <f>ROUND(U522*1.5%,2)</f>
        <v>33407.480000000003</v>
      </c>
      <c r="AD522" s="32">
        <v>250000</v>
      </c>
      <c r="AE522" s="32">
        <v>0</v>
      </c>
      <c r="AF522" s="35">
        <v>2020</v>
      </c>
      <c r="AG522" s="35">
        <v>2020</v>
      </c>
      <c r="AH522" s="36">
        <v>2020</v>
      </c>
      <c r="AT522" s="21" t="e">
        <f>VLOOKUP(C522,AW:AX,2,FALSE)</f>
        <v>#N/A</v>
      </c>
    </row>
    <row r="523" spans="1:46" ht="61.5" x14ac:dyDescent="0.85">
      <c r="A523" s="21">
        <v>1</v>
      </c>
      <c r="B523" s="70">
        <f>SUBTOTAL(103,$A$22:A523)</f>
        <v>439</v>
      </c>
      <c r="C523" s="25" t="s">
        <v>1171</v>
      </c>
      <c r="D523" s="32">
        <f t="shared" si="244"/>
        <v>1509999.9999999998</v>
      </c>
      <c r="E523" s="32">
        <v>0</v>
      </c>
      <c r="F523" s="32">
        <v>0</v>
      </c>
      <c r="G523" s="32">
        <v>0</v>
      </c>
      <c r="H523" s="32">
        <v>0</v>
      </c>
      <c r="I523" s="32">
        <v>0</v>
      </c>
      <c r="J523" s="32">
        <v>0</v>
      </c>
      <c r="K523" s="34">
        <v>0</v>
      </c>
      <c r="L523" s="32">
        <v>0</v>
      </c>
      <c r="M523" s="32">
        <v>240</v>
      </c>
      <c r="N523" s="32">
        <f>1146041.38+267181.17-14207.77</f>
        <v>1399014.7799999998</v>
      </c>
      <c r="O523" s="32">
        <v>0</v>
      </c>
      <c r="P523" s="32">
        <v>0</v>
      </c>
      <c r="Q523" s="32">
        <v>0</v>
      </c>
      <c r="R523" s="32">
        <v>0</v>
      </c>
      <c r="S523" s="32">
        <v>0</v>
      </c>
      <c r="T523" s="32">
        <v>0</v>
      </c>
      <c r="U523" s="32">
        <v>0</v>
      </c>
      <c r="V523" s="32">
        <v>0</v>
      </c>
      <c r="W523" s="32">
        <v>0</v>
      </c>
      <c r="X523" s="32">
        <v>0</v>
      </c>
      <c r="Y523" s="32">
        <v>0</v>
      </c>
      <c r="Z523" s="32">
        <v>0</v>
      </c>
      <c r="AA523" s="32">
        <v>0</v>
      </c>
      <c r="AB523" s="32">
        <v>0</v>
      </c>
      <c r="AC523" s="32">
        <f>ROUND(N523*1.5%,2)</f>
        <v>20985.22</v>
      </c>
      <c r="AD523" s="32">
        <v>90000</v>
      </c>
      <c r="AE523" s="32">
        <v>0</v>
      </c>
      <c r="AF523" s="35">
        <v>2020</v>
      </c>
      <c r="AG523" s="35">
        <v>2020</v>
      </c>
      <c r="AH523" s="36">
        <v>2020</v>
      </c>
      <c r="AT523" s="21" t="e">
        <f>VLOOKUP(C523,AW:AX,2,FALSE)</f>
        <v>#N/A</v>
      </c>
    </row>
    <row r="524" spans="1:46" ht="61.5" x14ac:dyDescent="0.85">
      <c r="A524" s="21">
        <v>1</v>
      </c>
      <c r="B524" s="70">
        <f>SUBTOTAL(103,$A$22:A524)</f>
        <v>440</v>
      </c>
      <c r="C524" s="25" t="s">
        <v>1370</v>
      </c>
      <c r="D524" s="32">
        <f t="shared" si="244"/>
        <v>309570.01</v>
      </c>
      <c r="E524" s="32">
        <v>0</v>
      </c>
      <c r="F524" s="32">
        <v>0</v>
      </c>
      <c r="G524" s="32">
        <v>0</v>
      </c>
      <c r="H524" s="32">
        <v>305017.62</v>
      </c>
      <c r="I524" s="32">
        <v>0</v>
      </c>
      <c r="J524" s="32">
        <v>0</v>
      </c>
      <c r="K524" s="34">
        <v>0</v>
      </c>
      <c r="L524" s="32">
        <v>0</v>
      </c>
      <c r="M524" s="32">
        <v>0</v>
      </c>
      <c r="N524" s="32">
        <v>0</v>
      </c>
      <c r="O524" s="32">
        <v>0</v>
      </c>
      <c r="P524" s="32">
        <v>0</v>
      </c>
      <c r="Q524" s="32">
        <v>0</v>
      </c>
      <c r="R524" s="32">
        <v>0</v>
      </c>
      <c r="S524" s="32">
        <v>0</v>
      </c>
      <c r="T524" s="32">
        <v>0</v>
      </c>
      <c r="U524" s="32">
        <v>0</v>
      </c>
      <c r="V524" s="32">
        <v>0</v>
      </c>
      <c r="W524" s="32">
        <v>0</v>
      </c>
      <c r="X524" s="32">
        <v>0</v>
      </c>
      <c r="Y524" s="32">
        <v>0</v>
      </c>
      <c r="Z524" s="32">
        <v>0</v>
      </c>
      <c r="AA524" s="32">
        <v>0</v>
      </c>
      <c r="AB524" s="32">
        <v>0</v>
      </c>
      <c r="AC524" s="32">
        <f>ROUND((E524+F524+G524+H524+I524+J524)*1.4925%,2)</f>
        <v>4552.3900000000003</v>
      </c>
      <c r="AD524" s="32">
        <v>0</v>
      </c>
      <c r="AE524" s="32">
        <v>0</v>
      </c>
      <c r="AF524" s="35" t="s">
        <v>275</v>
      </c>
      <c r="AG524" s="35">
        <v>2020</v>
      </c>
      <c r="AH524" s="36">
        <v>2020</v>
      </c>
    </row>
    <row r="525" spans="1:46" ht="61.5" x14ac:dyDescent="0.85">
      <c r="B525" s="25" t="s">
        <v>916</v>
      </c>
      <c r="C525" s="25"/>
      <c r="D525" s="32">
        <f>SUM(D526:D528)</f>
        <v>926720.65000000014</v>
      </c>
      <c r="E525" s="32">
        <f t="shared" ref="E525:AE525" si="245">SUM(E526:E528)</f>
        <v>0</v>
      </c>
      <c r="F525" s="32">
        <f t="shared" si="245"/>
        <v>0</v>
      </c>
      <c r="G525" s="32">
        <f t="shared" si="245"/>
        <v>0</v>
      </c>
      <c r="H525" s="32">
        <f t="shared" si="245"/>
        <v>179165.08</v>
      </c>
      <c r="I525" s="32">
        <f t="shared" si="245"/>
        <v>0</v>
      </c>
      <c r="J525" s="32">
        <f t="shared" si="245"/>
        <v>0</v>
      </c>
      <c r="K525" s="34">
        <f t="shared" si="245"/>
        <v>0</v>
      </c>
      <c r="L525" s="32">
        <f t="shared" si="245"/>
        <v>0</v>
      </c>
      <c r="M525" s="32">
        <f t="shared" si="245"/>
        <v>0</v>
      </c>
      <c r="N525" s="32">
        <f t="shared" si="245"/>
        <v>0</v>
      </c>
      <c r="O525" s="32">
        <f t="shared" si="245"/>
        <v>125</v>
      </c>
      <c r="P525" s="32">
        <f t="shared" si="245"/>
        <v>306520.29000000004</v>
      </c>
      <c r="Q525" s="32">
        <f t="shared" si="245"/>
        <v>109</v>
      </c>
      <c r="R525" s="32">
        <f t="shared" si="245"/>
        <v>250000</v>
      </c>
      <c r="S525" s="32">
        <f t="shared" si="245"/>
        <v>0</v>
      </c>
      <c r="T525" s="32">
        <f t="shared" si="245"/>
        <v>0</v>
      </c>
      <c r="U525" s="32">
        <f t="shared" si="245"/>
        <v>0</v>
      </c>
      <c r="V525" s="32">
        <f t="shared" si="245"/>
        <v>0</v>
      </c>
      <c r="W525" s="32">
        <f t="shared" si="245"/>
        <v>0</v>
      </c>
      <c r="X525" s="32">
        <f t="shared" si="245"/>
        <v>0</v>
      </c>
      <c r="Y525" s="32">
        <f t="shared" si="245"/>
        <v>0</v>
      </c>
      <c r="Z525" s="32">
        <f t="shared" si="245"/>
        <v>0</v>
      </c>
      <c r="AA525" s="32">
        <f t="shared" si="245"/>
        <v>0</v>
      </c>
      <c r="AB525" s="32">
        <f t="shared" si="245"/>
        <v>0</v>
      </c>
      <c r="AC525" s="32">
        <f t="shared" si="245"/>
        <v>11035.279999999999</v>
      </c>
      <c r="AD525" s="32">
        <f t="shared" si="245"/>
        <v>180000</v>
      </c>
      <c r="AE525" s="32">
        <f t="shared" si="245"/>
        <v>0</v>
      </c>
      <c r="AF525" s="77" t="s">
        <v>801</v>
      </c>
      <c r="AG525" s="77" t="s">
        <v>801</v>
      </c>
      <c r="AH525" s="107" t="s">
        <v>801</v>
      </c>
      <c r="AT525" s="21" t="e">
        <f>VLOOKUP(C525,AW:AX,2,FALSE)</f>
        <v>#N/A</v>
      </c>
    </row>
    <row r="526" spans="1:46" ht="61.5" x14ac:dyDescent="0.85">
      <c r="A526" s="21">
        <v>1</v>
      </c>
      <c r="B526" s="70">
        <f>SUBTOTAL(103,$A$22:A526)</f>
        <v>441</v>
      </c>
      <c r="C526" s="25" t="s">
        <v>229</v>
      </c>
      <c r="D526" s="32">
        <f t="shared" ref="D526:D528" si="246">E526+F526+G526+H526+I526+J526+L526+N526+P526+R526+T526+U526+V526+W526+X526+Y526+Z526+AA526+AB526+AC526+AD526+AE526</f>
        <v>221852.56</v>
      </c>
      <c r="E526" s="32">
        <v>0</v>
      </c>
      <c r="F526" s="32">
        <v>0</v>
      </c>
      <c r="G526" s="32">
        <v>0</v>
      </c>
      <c r="H526" s="32">
        <v>179165.08</v>
      </c>
      <c r="I526" s="32">
        <v>0</v>
      </c>
      <c r="J526" s="32">
        <v>0</v>
      </c>
      <c r="K526" s="34">
        <v>0</v>
      </c>
      <c r="L526" s="32">
        <v>0</v>
      </c>
      <c r="M526" s="32">
        <v>0</v>
      </c>
      <c r="N526" s="32">
        <v>0</v>
      </c>
      <c r="O526" s="32">
        <v>0</v>
      </c>
      <c r="P526" s="32">
        <v>0</v>
      </c>
      <c r="Q526" s="32">
        <v>0</v>
      </c>
      <c r="R526" s="32">
        <v>0</v>
      </c>
      <c r="S526" s="32">
        <v>0</v>
      </c>
      <c r="T526" s="32">
        <v>0</v>
      </c>
      <c r="U526" s="32">
        <v>0</v>
      </c>
      <c r="V526" s="32">
        <v>0</v>
      </c>
      <c r="W526" s="32">
        <v>0</v>
      </c>
      <c r="X526" s="32">
        <v>0</v>
      </c>
      <c r="Y526" s="32">
        <v>0</v>
      </c>
      <c r="Z526" s="32">
        <v>0</v>
      </c>
      <c r="AA526" s="32">
        <v>0</v>
      </c>
      <c r="AB526" s="32">
        <v>0</v>
      </c>
      <c r="AC526" s="32">
        <f>ROUND((E526+F526+G526+H526+I526+J526)*1.5%,2)</f>
        <v>2687.48</v>
      </c>
      <c r="AD526" s="32">
        <v>40000</v>
      </c>
      <c r="AE526" s="32">
        <v>0</v>
      </c>
      <c r="AF526" s="35">
        <v>2020</v>
      </c>
      <c r="AG526" s="35">
        <v>2020</v>
      </c>
      <c r="AH526" s="36">
        <v>2020</v>
      </c>
      <c r="AT526" s="21" t="e">
        <f>VLOOKUP(C526,AW:AX,2,FALSE)</f>
        <v>#N/A</v>
      </c>
    </row>
    <row r="527" spans="1:46" ht="61.5" x14ac:dyDescent="0.85">
      <c r="A527" s="21">
        <v>1</v>
      </c>
      <c r="B527" s="70">
        <f>SUBTOTAL(103,$A$22:A527)</f>
        <v>442</v>
      </c>
      <c r="C527" s="25" t="s">
        <v>1384</v>
      </c>
      <c r="D527" s="32">
        <f t="shared" si="246"/>
        <v>323750</v>
      </c>
      <c r="E527" s="32">
        <v>0</v>
      </c>
      <c r="F527" s="32">
        <v>0</v>
      </c>
      <c r="G527" s="32">
        <v>0</v>
      </c>
      <c r="H527" s="32">
        <v>0</v>
      </c>
      <c r="I527" s="32">
        <v>0</v>
      </c>
      <c r="J527" s="32">
        <v>0</v>
      </c>
      <c r="K527" s="34">
        <v>0</v>
      </c>
      <c r="L527" s="32">
        <v>0</v>
      </c>
      <c r="M527" s="32">
        <v>0</v>
      </c>
      <c r="N527" s="32">
        <v>0</v>
      </c>
      <c r="O527" s="32">
        <v>0</v>
      </c>
      <c r="P527" s="32">
        <v>0</v>
      </c>
      <c r="Q527" s="32">
        <v>109</v>
      </c>
      <c r="R527" s="32">
        <f>200000+50000</f>
        <v>250000</v>
      </c>
      <c r="S527" s="32">
        <v>0</v>
      </c>
      <c r="T527" s="32">
        <v>0</v>
      </c>
      <c r="U527" s="32">
        <v>0</v>
      </c>
      <c r="V527" s="32">
        <v>0</v>
      </c>
      <c r="W527" s="32">
        <v>0</v>
      </c>
      <c r="X527" s="32">
        <v>0</v>
      </c>
      <c r="Y527" s="32">
        <v>0</v>
      </c>
      <c r="Z527" s="32">
        <v>0</v>
      </c>
      <c r="AA527" s="32">
        <v>0</v>
      </c>
      <c r="AB527" s="32">
        <v>0</v>
      </c>
      <c r="AC527" s="32">
        <f>ROUND(R527*1.5%,2)</f>
        <v>3750</v>
      </c>
      <c r="AD527" s="32">
        <v>70000</v>
      </c>
      <c r="AE527" s="32">
        <v>0</v>
      </c>
      <c r="AF527" s="35">
        <v>2020</v>
      </c>
      <c r="AG527" s="35">
        <v>2020</v>
      </c>
      <c r="AH527" s="36">
        <v>2020</v>
      </c>
    </row>
    <row r="528" spans="1:46" ht="61.5" x14ac:dyDescent="0.85">
      <c r="A528" s="21">
        <v>1</v>
      </c>
      <c r="B528" s="70">
        <f>SUBTOTAL(103,$A$22:A528)</f>
        <v>443</v>
      </c>
      <c r="C528" s="25" t="s">
        <v>1385</v>
      </c>
      <c r="D528" s="32">
        <f t="shared" si="246"/>
        <v>381118.09</v>
      </c>
      <c r="E528" s="32">
        <v>0</v>
      </c>
      <c r="F528" s="32">
        <v>0</v>
      </c>
      <c r="G528" s="32">
        <v>0</v>
      </c>
      <c r="H528" s="32">
        <v>0</v>
      </c>
      <c r="I528" s="32">
        <v>0</v>
      </c>
      <c r="J528" s="32">
        <v>0</v>
      </c>
      <c r="K528" s="34">
        <v>0</v>
      </c>
      <c r="L528" s="32">
        <v>0</v>
      </c>
      <c r="M528" s="32">
        <v>0</v>
      </c>
      <c r="N528" s="32">
        <v>0</v>
      </c>
      <c r="O528" s="32">
        <v>125</v>
      </c>
      <c r="P528" s="32">
        <f>256520.29+50000</f>
        <v>306520.29000000004</v>
      </c>
      <c r="Q528" s="32">
        <v>0</v>
      </c>
      <c r="R528" s="32">
        <v>0</v>
      </c>
      <c r="S528" s="32">
        <v>0</v>
      </c>
      <c r="T528" s="32">
        <v>0</v>
      </c>
      <c r="U528" s="32">
        <v>0</v>
      </c>
      <c r="V528" s="32">
        <v>0</v>
      </c>
      <c r="W528" s="32">
        <v>0</v>
      </c>
      <c r="X528" s="32">
        <v>0</v>
      </c>
      <c r="Y528" s="32">
        <v>0</v>
      </c>
      <c r="Z528" s="32">
        <v>0</v>
      </c>
      <c r="AA528" s="32">
        <v>0</v>
      </c>
      <c r="AB528" s="32">
        <v>0</v>
      </c>
      <c r="AC528" s="32">
        <f>ROUND(P528*1.5%,2)</f>
        <v>4597.8</v>
      </c>
      <c r="AD528" s="32">
        <v>70000</v>
      </c>
      <c r="AE528" s="32">
        <v>0</v>
      </c>
      <c r="AF528" s="35">
        <v>2020</v>
      </c>
      <c r="AG528" s="35">
        <v>2020</v>
      </c>
      <c r="AH528" s="36">
        <v>2020</v>
      </c>
    </row>
    <row r="529" spans="1:46" ht="61.5" x14ac:dyDescent="0.85">
      <c r="B529" s="25" t="s">
        <v>917</v>
      </c>
      <c r="C529" s="25"/>
      <c r="D529" s="32">
        <f t="shared" ref="D529:AE529" si="247">D530</f>
        <v>1428000</v>
      </c>
      <c r="E529" s="32">
        <f t="shared" si="247"/>
        <v>0</v>
      </c>
      <c r="F529" s="32">
        <f t="shared" si="247"/>
        <v>0</v>
      </c>
      <c r="G529" s="32">
        <f t="shared" si="247"/>
        <v>0</v>
      </c>
      <c r="H529" s="32">
        <f t="shared" si="247"/>
        <v>0</v>
      </c>
      <c r="I529" s="32">
        <f t="shared" si="247"/>
        <v>0</v>
      </c>
      <c r="J529" s="32">
        <f t="shared" si="247"/>
        <v>0</v>
      </c>
      <c r="K529" s="34">
        <f t="shared" si="247"/>
        <v>0</v>
      </c>
      <c r="L529" s="32">
        <f t="shared" si="247"/>
        <v>0</v>
      </c>
      <c r="M529" s="32">
        <f t="shared" si="247"/>
        <v>280</v>
      </c>
      <c r="N529" s="32">
        <f t="shared" si="247"/>
        <v>1288669.95</v>
      </c>
      <c r="O529" s="32">
        <f t="shared" si="247"/>
        <v>0</v>
      </c>
      <c r="P529" s="32">
        <f t="shared" si="247"/>
        <v>0</v>
      </c>
      <c r="Q529" s="32">
        <f t="shared" si="247"/>
        <v>0</v>
      </c>
      <c r="R529" s="32">
        <f t="shared" si="247"/>
        <v>0</v>
      </c>
      <c r="S529" s="32">
        <f t="shared" si="247"/>
        <v>0</v>
      </c>
      <c r="T529" s="32">
        <f t="shared" si="247"/>
        <v>0</v>
      </c>
      <c r="U529" s="32">
        <f t="shared" si="247"/>
        <v>0</v>
      </c>
      <c r="V529" s="32">
        <f t="shared" si="247"/>
        <v>0</v>
      </c>
      <c r="W529" s="32">
        <f t="shared" si="247"/>
        <v>0</v>
      </c>
      <c r="X529" s="32">
        <f t="shared" si="247"/>
        <v>0</v>
      </c>
      <c r="Y529" s="32">
        <f t="shared" si="247"/>
        <v>0</v>
      </c>
      <c r="Z529" s="32">
        <f t="shared" si="247"/>
        <v>0</v>
      </c>
      <c r="AA529" s="32">
        <f t="shared" si="247"/>
        <v>0</v>
      </c>
      <c r="AB529" s="32">
        <f t="shared" si="247"/>
        <v>0</v>
      </c>
      <c r="AC529" s="32">
        <f t="shared" si="247"/>
        <v>19330.05</v>
      </c>
      <c r="AD529" s="32">
        <f t="shared" si="247"/>
        <v>120000</v>
      </c>
      <c r="AE529" s="32">
        <f t="shared" si="247"/>
        <v>0</v>
      </c>
      <c r="AF529" s="77" t="s">
        <v>801</v>
      </c>
      <c r="AG529" s="77" t="s">
        <v>801</v>
      </c>
      <c r="AH529" s="107" t="s">
        <v>801</v>
      </c>
      <c r="AT529" s="21" t="e">
        <f>VLOOKUP(C529,AW:AX,2,FALSE)</f>
        <v>#N/A</v>
      </c>
    </row>
    <row r="530" spans="1:46" ht="61.5" x14ac:dyDescent="0.85">
      <c r="A530" s="21">
        <v>1</v>
      </c>
      <c r="B530" s="70">
        <f>SUBTOTAL(103,$A$22:A530)</f>
        <v>444</v>
      </c>
      <c r="C530" s="25" t="s">
        <v>228</v>
      </c>
      <c r="D530" s="32">
        <f t="shared" ref="D530" si="248">E530+F530+G530+H530+I530+J530+L530+N530+P530+R530+T530+U530+V530+W530+X530+Y530+Z530+AA530+AB530+AC530+AD530+AE530</f>
        <v>1428000</v>
      </c>
      <c r="E530" s="32">
        <v>0</v>
      </c>
      <c r="F530" s="32">
        <v>0</v>
      </c>
      <c r="G530" s="32">
        <v>0</v>
      </c>
      <c r="H530" s="32">
        <v>0</v>
      </c>
      <c r="I530" s="32">
        <v>0</v>
      </c>
      <c r="J530" s="32">
        <v>0</v>
      </c>
      <c r="K530" s="34">
        <v>0</v>
      </c>
      <c r="L530" s="32">
        <v>0</v>
      </c>
      <c r="M530" s="32">
        <v>280</v>
      </c>
      <c r="N530" s="32">
        <v>1288669.95</v>
      </c>
      <c r="O530" s="32">
        <v>0</v>
      </c>
      <c r="P530" s="32">
        <v>0</v>
      </c>
      <c r="Q530" s="32">
        <v>0</v>
      </c>
      <c r="R530" s="32">
        <v>0</v>
      </c>
      <c r="S530" s="32">
        <v>0</v>
      </c>
      <c r="T530" s="32">
        <v>0</v>
      </c>
      <c r="U530" s="32">
        <v>0</v>
      </c>
      <c r="V530" s="32">
        <v>0</v>
      </c>
      <c r="W530" s="32">
        <v>0</v>
      </c>
      <c r="X530" s="32">
        <v>0</v>
      </c>
      <c r="Y530" s="32">
        <v>0</v>
      </c>
      <c r="Z530" s="32">
        <v>0</v>
      </c>
      <c r="AA530" s="32">
        <v>0</v>
      </c>
      <c r="AB530" s="32">
        <v>0</v>
      </c>
      <c r="AC530" s="32">
        <f>ROUND(N530*1.5%,2)</f>
        <v>19330.05</v>
      </c>
      <c r="AD530" s="32">
        <v>120000</v>
      </c>
      <c r="AE530" s="32">
        <v>0</v>
      </c>
      <c r="AF530" s="35">
        <v>2020</v>
      </c>
      <c r="AG530" s="35">
        <v>2020</v>
      </c>
      <c r="AH530" s="36">
        <v>2020</v>
      </c>
      <c r="AT530" s="21" t="e">
        <f>VLOOKUP(C530,AW:AX,2,FALSE)</f>
        <v>#N/A</v>
      </c>
    </row>
    <row r="531" spans="1:46" ht="61.5" x14ac:dyDescent="0.85">
      <c r="B531" s="25" t="s">
        <v>1371</v>
      </c>
      <c r="C531" s="25"/>
      <c r="D531" s="32">
        <f>D532</f>
        <v>2199640.42</v>
      </c>
      <c r="E531" s="32">
        <f t="shared" ref="E531:AE531" si="249">E532</f>
        <v>0</v>
      </c>
      <c r="F531" s="32">
        <f t="shared" si="249"/>
        <v>0</v>
      </c>
      <c r="G531" s="32">
        <f t="shared" si="249"/>
        <v>0</v>
      </c>
      <c r="H531" s="32">
        <f t="shared" si="249"/>
        <v>0</v>
      </c>
      <c r="I531" s="32">
        <f t="shared" si="249"/>
        <v>0</v>
      </c>
      <c r="J531" s="32">
        <f t="shared" si="249"/>
        <v>0</v>
      </c>
      <c r="K531" s="34">
        <f t="shared" si="249"/>
        <v>0</v>
      </c>
      <c r="L531" s="32">
        <f t="shared" si="249"/>
        <v>0</v>
      </c>
      <c r="M531" s="32">
        <f t="shared" si="249"/>
        <v>620</v>
      </c>
      <c r="N531" s="32">
        <f t="shared" si="249"/>
        <v>2167133.42</v>
      </c>
      <c r="O531" s="32">
        <f t="shared" si="249"/>
        <v>0</v>
      </c>
      <c r="P531" s="32">
        <f t="shared" si="249"/>
        <v>0</v>
      </c>
      <c r="Q531" s="32">
        <f t="shared" si="249"/>
        <v>0</v>
      </c>
      <c r="R531" s="32">
        <f t="shared" si="249"/>
        <v>0</v>
      </c>
      <c r="S531" s="32">
        <f t="shared" si="249"/>
        <v>0</v>
      </c>
      <c r="T531" s="32">
        <f t="shared" si="249"/>
        <v>0</v>
      </c>
      <c r="U531" s="32">
        <f t="shared" si="249"/>
        <v>0</v>
      </c>
      <c r="V531" s="32">
        <f t="shared" si="249"/>
        <v>0</v>
      </c>
      <c r="W531" s="32">
        <f t="shared" si="249"/>
        <v>0</v>
      </c>
      <c r="X531" s="32">
        <f t="shared" si="249"/>
        <v>0</v>
      </c>
      <c r="Y531" s="32">
        <f t="shared" si="249"/>
        <v>0</v>
      </c>
      <c r="Z531" s="32">
        <f t="shared" si="249"/>
        <v>0</v>
      </c>
      <c r="AA531" s="32">
        <f t="shared" si="249"/>
        <v>0</v>
      </c>
      <c r="AB531" s="32">
        <f t="shared" si="249"/>
        <v>0</v>
      </c>
      <c r="AC531" s="32">
        <f t="shared" si="249"/>
        <v>32507</v>
      </c>
      <c r="AD531" s="32">
        <f t="shared" si="249"/>
        <v>0</v>
      </c>
      <c r="AE531" s="32">
        <f t="shared" si="249"/>
        <v>0</v>
      </c>
      <c r="AF531" s="77" t="s">
        <v>801</v>
      </c>
      <c r="AG531" s="77" t="s">
        <v>801</v>
      </c>
      <c r="AH531" s="107" t="s">
        <v>801</v>
      </c>
    </row>
    <row r="532" spans="1:46" ht="61.5" x14ac:dyDescent="0.85">
      <c r="A532" s="21">
        <v>1</v>
      </c>
      <c r="B532" s="70">
        <f>SUBTOTAL(103,$A$22:A532)</f>
        <v>445</v>
      </c>
      <c r="C532" s="25" t="s">
        <v>1372</v>
      </c>
      <c r="D532" s="32">
        <f t="shared" ref="D532" si="250">E532+F532+G532+H532+I532+J532+L532+N532+P532+R532+T532+U532+V532+W532+X532+Y532+Z532+AA532+AB532+AC532+AD532+AE532</f>
        <v>2199640.42</v>
      </c>
      <c r="E532" s="32">
        <v>0</v>
      </c>
      <c r="F532" s="32">
        <v>0</v>
      </c>
      <c r="G532" s="32">
        <v>0</v>
      </c>
      <c r="H532" s="32">
        <v>0</v>
      </c>
      <c r="I532" s="32">
        <v>0</v>
      </c>
      <c r="J532" s="32">
        <v>0</v>
      </c>
      <c r="K532" s="34">
        <v>0</v>
      </c>
      <c r="L532" s="32">
        <v>0</v>
      </c>
      <c r="M532" s="32">
        <v>620</v>
      </c>
      <c r="N532" s="32">
        <f>2138031.3+29102.12</f>
        <v>2167133.42</v>
      </c>
      <c r="O532" s="32">
        <v>0</v>
      </c>
      <c r="P532" s="32">
        <v>0</v>
      </c>
      <c r="Q532" s="32">
        <v>0</v>
      </c>
      <c r="R532" s="32">
        <v>0</v>
      </c>
      <c r="S532" s="32">
        <v>0</v>
      </c>
      <c r="T532" s="32">
        <v>0</v>
      </c>
      <c r="U532" s="32">
        <v>0</v>
      </c>
      <c r="V532" s="32">
        <v>0</v>
      </c>
      <c r="W532" s="32">
        <v>0</v>
      </c>
      <c r="X532" s="32">
        <v>0</v>
      </c>
      <c r="Y532" s="32">
        <v>0</v>
      </c>
      <c r="Z532" s="32">
        <v>0</v>
      </c>
      <c r="AA532" s="32">
        <v>0</v>
      </c>
      <c r="AB532" s="32">
        <v>0</v>
      </c>
      <c r="AC532" s="32">
        <f>ROUND(N532*1.5%,2)</f>
        <v>32507</v>
      </c>
      <c r="AD532" s="32">
        <v>0</v>
      </c>
      <c r="AE532" s="32">
        <v>0</v>
      </c>
      <c r="AF532" s="35" t="s">
        <v>275</v>
      </c>
      <c r="AG532" s="35">
        <v>2020</v>
      </c>
      <c r="AH532" s="36">
        <v>2020</v>
      </c>
    </row>
    <row r="533" spans="1:46" ht="61.5" x14ac:dyDescent="0.85">
      <c r="B533" s="25" t="s">
        <v>804</v>
      </c>
      <c r="C533" s="25"/>
      <c r="D533" s="32">
        <f t="shared" ref="D533:AE533" si="251">D534+D648+D661+D717+D738+D742+D755+D758+D763+D766+D769+D772+D774+D776+D783+D786+D788+D790+D792+D794+D796+D798+D800+D809+D811+D814+D816+D818+D823+D826+D828+D830+D832+D834+D836+D838+D840+D843+D845+D847+D853+D856+D858+D860+D862+D864+D868+D872+D875+D877+D879+D881+D885+D887+D890+D892</f>
        <v>799016824.95999992</v>
      </c>
      <c r="E533" s="32">
        <f t="shared" si="251"/>
        <v>1054929.6100000001</v>
      </c>
      <c r="F533" s="32">
        <f t="shared" si="251"/>
        <v>1360064.57</v>
      </c>
      <c r="G533" s="32">
        <f t="shared" si="251"/>
        <v>10526341.74</v>
      </c>
      <c r="H533" s="32">
        <f t="shared" si="251"/>
        <v>2863941.75</v>
      </c>
      <c r="I533" s="32">
        <f t="shared" si="251"/>
        <v>7434058.0200000005</v>
      </c>
      <c r="J533" s="32">
        <f t="shared" si="251"/>
        <v>0</v>
      </c>
      <c r="K533" s="34">
        <f t="shared" si="251"/>
        <v>32</v>
      </c>
      <c r="L533" s="32">
        <f t="shared" si="251"/>
        <v>67911883.330000013</v>
      </c>
      <c r="M533" s="32">
        <f t="shared" si="251"/>
        <v>133392.48888180297</v>
      </c>
      <c r="N533" s="32">
        <f t="shared" si="251"/>
        <v>624323330.19999981</v>
      </c>
      <c r="O533" s="32">
        <f t="shared" si="251"/>
        <v>0</v>
      </c>
      <c r="P533" s="32">
        <f t="shared" si="251"/>
        <v>0</v>
      </c>
      <c r="Q533" s="32">
        <f t="shared" si="251"/>
        <v>11770.03</v>
      </c>
      <c r="R533" s="32">
        <f t="shared" si="251"/>
        <v>34342212.100000001</v>
      </c>
      <c r="S533" s="32">
        <f t="shared" si="251"/>
        <v>0</v>
      </c>
      <c r="T533" s="32">
        <f t="shared" si="251"/>
        <v>0</v>
      </c>
      <c r="U533" s="32">
        <f t="shared" si="251"/>
        <v>0</v>
      </c>
      <c r="V533" s="32">
        <f t="shared" si="251"/>
        <v>0</v>
      </c>
      <c r="W533" s="32">
        <f t="shared" si="251"/>
        <v>0</v>
      </c>
      <c r="X533" s="32">
        <f t="shared" si="251"/>
        <v>0</v>
      </c>
      <c r="Y533" s="32">
        <f t="shared" si="251"/>
        <v>0</v>
      </c>
      <c r="Z533" s="32">
        <f t="shared" si="251"/>
        <v>0</v>
      </c>
      <c r="AA533" s="32">
        <f t="shared" si="251"/>
        <v>0</v>
      </c>
      <c r="AB533" s="32">
        <f t="shared" si="251"/>
        <v>0</v>
      </c>
      <c r="AC533" s="32">
        <f t="shared" si="251"/>
        <v>10228573.159999998</v>
      </c>
      <c r="AD533" s="32">
        <f t="shared" si="251"/>
        <v>38731490.479999997</v>
      </c>
      <c r="AE533" s="32">
        <f t="shared" si="251"/>
        <v>240000</v>
      </c>
      <c r="AF533" s="77" t="s">
        <v>801</v>
      </c>
      <c r="AG533" s="77" t="s">
        <v>801</v>
      </c>
      <c r="AH533" s="107" t="s">
        <v>801</v>
      </c>
      <c r="AT533" s="21" t="e">
        <f t="shared" ref="AT533:AT542" si="252">VLOOKUP(C533,AW:AX,2,FALSE)</f>
        <v>#N/A</v>
      </c>
    </row>
    <row r="534" spans="1:46" ht="61.5" x14ac:dyDescent="0.85">
      <c r="B534" s="25" t="s">
        <v>1170</v>
      </c>
      <c r="C534" s="110"/>
      <c r="D534" s="32">
        <f t="shared" ref="D534:AE534" si="253">SUM(D535:D647)</f>
        <v>225509821.20999989</v>
      </c>
      <c r="E534" s="32">
        <f t="shared" si="253"/>
        <v>0</v>
      </c>
      <c r="F534" s="32">
        <f t="shared" si="253"/>
        <v>0</v>
      </c>
      <c r="G534" s="32">
        <f t="shared" si="253"/>
        <v>0</v>
      </c>
      <c r="H534" s="32">
        <f t="shared" si="253"/>
        <v>0</v>
      </c>
      <c r="I534" s="32">
        <f t="shared" si="253"/>
        <v>0</v>
      </c>
      <c r="J534" s="32">
        <f t="shared" si="253"/>
        <v>0</v>
      </c>
      <c r="K534" s="34">
        <f t="shared" si="253"/>
        <v>14</v>
      </c>
      <c r="L534" s="32">
        <f t="shared" si="253"/>
        <v>29500739.760000005</v>
      </c>
      <c r="M534" s="32">
        <f t="shared" si="253"/>
        <v>37360.28</v>
      </c>
      <c r="N534" s="32">
        <f t="shared" si="253"/>
        <v>171801830.03</v>
      </c>
      <c r="O534" s="32">
        <f t="shared" si="253"/>
        <v>0</v>
      </c>
      <c r="P534" s="32">
        <f t="shared" si="253"/>
        <v>0</v>
      </c>
      <c r="Q534" s="32">
        <f t="shared" si="253"/>
        <v>2471.23</v>
      </c>
      <c r="R534" s="32">
        <f t="shared" si="253"/>
        <v>10107126.59</v>
      </c>
      <c r="S534" s="32">
        <f t="shared" si="253"/>
        <v>0</v>
      </c>
      <c r="T534" s="32">
        <f t="shared" si="253"/>
        <v>0</v>
      </c>
      <c r="U534" s="32">
        <f t="shared" si="253"/>
        <v>0</v>
      </c>
      <c r="V534" s="32">
        <f t="shared" si="253"/>
        <v>0</v>
      </c>
      <c r="W534" s="32">
        <f t="shared" si="253"/>
        <v>0</v>
      </c>
      <c r="X534" s="32">
        <f t="shared" si="253"/>
        <v>0</v>
      </c>
      <c r="Y534" s="32">
        <f t="shared" si="253"/>
        <v>0</v>
      </c>
      <c r="Z534" s="32">
        <f t="shared" si="253"/>
        <v>0</v>
      </c>
      <c r="AA534" s="32">
        <f t="shared" si="253"/>
        <v>0</v>
      </c>
      <c r="AB534" s="32">
        <f t="shared" si="253"/>
        <v>0</v>
      </c>
      <c r="AC534" s="32">
        <f t="shared" si="253"/>
        <v>2728634.3500000015</v>
      </c>
      <c r="AD534" s="32">
        <f t="shared" si="253"/>
        <v>11371490.479999999</v>
      </c>
      <c r="AE534" s="32">
        <f t="shared" si="253"/>
        <v>0</v>
      </c>
      <c r="AF534" s="77" t="s">
        <v>801</v>
      </c>
      <c r="AG534" s="77" t="s">
        <v>801</v>
      </c>
      <c r="AH534" s="107" t="s">
        <v>801</v>
      </c>
      <c r="AT534" s="21" t="e">
        <f t="shared" si="252"/>
        <v>#N/A</v>
      </c>
    </row>
    <row r="535" spans="1:46" ht="61.5" x14ac:dyDescent="0.85">
      <c r="A535" s="21">
        <v>1</v>
      </c>
      <c r="B535" s="70">
        <f>SUBTOTAL(103,$A$535:A535)</f>
        <v>1</v>
      </c>
      <c r="C535" s="25" t="s">
        <v>553</v>
      </c>
      <c r="D535" s="32">
        <f t="shared" ref="D535:D647" si="254">E535+F535+G535+H535+I535+J535+L535+N535+P535+R535+T535+U535+V535+W535+X535+Y535+Z535+AA535+AB535+AC535+AD535+AE535</f>
        <v>4625631.57</v>
      </c>
      <c r="E535" s="32">
        <v>0</v>
      </c>
      <c r="F535" s="32">
        <v>0</v>
      </c>
      <c r="G535" s="32">
        <v>0</v>
      </c>
      <c r="H535" s="32">
        <v>0</v>
      </c>
      <c r="I535" s="32">
        <v>0</v>
      </c>
      <c r="J535" s="32">
        <v>0</v>
      </c>
      <c r="K535" s="34">
        <v>0</v>
      </c>
      <c r="L535" s="32">
        <v>0</v>
      </c>
      <c r="M535" s="32">
        <v>940</v>
      </c>
      <c r="N535" s="32">
        <v>4458750.32</v>
      </c>
      <c r="O535" s="32">
        <v>0</v>
      </c>
      <c r="P535" s="32">
        <v>0</v>
      </c>
      <c r="Q535" s="32">
        <v>0</v>
      </c>
      <c r="R535" s="32">
        <v>0</v>
      </c>
      <c r="S535" s="32">
        <v>0</v>
      </c>
      <c r="T535" s="32">
        <v>0</v>
      </c>
      <c r="U535" s="32">
        <v>0</v>
      </c>
      <c r="V535" s="32">
        <v>0</v>
      </c>
      <c r="W535" s="32">
        <v>0</v>
      </c>
      <c r="X535" s="32">
        <v>0</v>
      </c>
      <c r="Y535" s="32">
        <v>0</v>
      </c>
      <c r="Z535" s="32">
        <v>0</v>
      </c>
      <c r="AA535" s="32">
        <v>0</v>
      </c>
      <c r="AB535" s="32">
        <v>0</v>
      </c>
      <c r="AC535" s="32">
        <f t="shared" ref="AC535:AC538" si="255">ROUND(N535*1.5%,2)</f>
        <v>66881.25</v>
      </c>
      <c r="AD535" s="32">
        <v>100000</v>
      </c>
      <c r="AE535" s="32">
        <v>0</v>
      </c>
      <c r="AF535" s="35">
        <v>2021</v>
      </c>
      <c r="AG535" s="35">
        <v>2021</v>
      </c>
      <c r="AH535" s="36">
        <v>2021</v>
      </c>
      <c r="AT535" s="21" t="e">
        <f t="shared" si="252"/>
        <v>#N/A</v>
      </c>
    </row>
    <row r="536" spans="1:46" ht="61.5" x14ac:dyDescent="0.85">
      <c r="A536" s="21">
        <v>1</v>
      </c>
      <c r="B536" s="70">
        <f>SUBTOTAL(103,$A$535:A536)</f>
        <v>2</v>
      </c>
      <c r="C536" s="25" t="s">
        <v>554</v>
      </c>
      <c r="D536" s="32">
        <f t="shared" si="254"/>
        <v>4549323.9899999993</v>
      </c>
      <c r="E536" s="32">
        <v>0</v>
      </c>
      <c r="F536" s="32">
        <v>0</v>
      </c>
      <c r="G536" s="32">
        <v>0</v>
      </c>
      <c r="H536" s="32">
        <v>0</v>
      </c>
      <c r="I536" s="32">
        <v>0</v>
      </c>
      <c r="J536" s="32">
        <v>0</v>
      </c>
      <c r="K536" s="34">
        <v>0</v>
      </c>
      <c r="L536" s="32">
        <v>0</v>
      </c>
      <c r="M536" s="32">
        <v>960</v>
      </c>
      <c r="N536" s="32">
        <v>4383570.43</v>
      </c>
      <c r="O536" s="32">
        <v>0</v>
      </c>
      <c r="P536" s="32">
        <v>0</v>
      </c>
      <c r="Q536" s="32">
        <v>0</v>
      </c>
      <c r="R536" s="32">
        <v>0</v>
      </c>
      <c r="S536" s="32">
        <v>0</v>
      </c>
      <c r="T536" s="32">
        <v>0</v>
      </c>
      <c r="U536" s="32">
        <v>0</v>
      </c>
      <c r="V536" s="32">
        <v>0</v>
      </c>
      <c r="W536" s="32">
        <v>0</v>
      </c>
      <c r="X536" s="32">
        <v>0</v>
      </c>
      <c r="Y536" s="32">
        <v>0</v>
      </c>
      <c r="Z536" s="32">
        <v>0</v>
      </c>
      <c r="AA536" s="32">
        <v>0</v>
      </c>
      <c r="AB536" s="32">
        <v>0</v>
      </c>
      <c r="AC536" s="32">
        <f t="shared" si="255"/>
        <v>65753.56</v>
      </c>
      <c r="AD536" s="32">
        <v>100000</v>
      </c>
      <c r="AE536" s="32">
        <v>0</v>
      </c>
      <c r="AF536" s="35">
        <v>2021</v>
      </c>
      <c r="AG536" s="35">
        <v>2021</v>
      </c>
      <c r="AH536" s="36">
        <v>2021</v>
      </c>
      <c r="AT536" s="21" t="e">
        <f t="shared" si="252"/>
        <v>#N/A</v>
      </c>
    </row>
    <row r="537" spans="1:46" ht="61.5" x14ac:dyDescent="0.85">
      <c r="A537" s="21">
        <v>1</v>
      </c>
      <c r="B537" s="70">
        <f>SUBTOTAL(103,$A$535:A537)</f>
        <v>3</v>
      </c>
      <c r="C537" s="25" t="s">
        <v>555</v>
      </c>
      <c r="D537" s="32">
        <f t="shared" si="254"/>
        <v>4549323.9899999993</v>
      </c>
      <c r="E537" s="32">
        <v>0</v>
      </c>
      <c r="F537" s="32">
        <v>0</v>
      </c>
      <c r="G537" s="32">
        <v>0</v>
      </c>
      <c r="H537" s="32">
        <v>0</v>
      </c>
      <c r="I537" s="32">
        <v>0</v>
      </c>
      <c r="J537" s="32">
        <v>0</v>
      </c>
      <c r="K537" s="34">
        <v>0</v>
      </c>
      <c r="L537" s="32">
        <v>0</v>
      </c>
      <c r="M537" s="32">
        <v>960</v>
      </c>
      <c r="N537" s="32">
        <v>4383570.43</v>
      </c>
      <c r="O537" s="32">
        <v>0</v>
      </c>
      <c r="P537" s="32">
        <v>0</v>
      </c>
      <c r="Q537" s="32">
        <v>0</v>
      </c>
      <c r="R537" s="32">
        <v>0</v>
      </c>
      <c r="S537" s="32">
        <v>0</v>
      </c>
      <c r="T537" s="32">
        <v>0</v>
      </c>
      <c r="U537" s="32">
        <v>0</v>
      </c>
      <c r="V537" s="32">
        <v>0</v>
      </c>
      <c r="W537" s="32">
        <v>0</v>
      </c>
      <c r="X537" s="32">
        <v>0</v>
      </c>
      <c r="Y537" s="32">
        <v>0</v>
      </c>
      <c r="Z537" s="32">
        <v>0</v>
      </c>
      <c r="AA537" s="32">
        <v>0</v>
      </c>
      <c r="AB537" s="32">
        <v>0</v>
      </c>
      <c r="AC537" s="32">
        <f t="shared" si="255"/>
        <v>65753.56</v>
      </c>
      <c r="AD537" s="32">
        <v>100000</v>
      </c>
      <c r="AE537" s="32">
        <v>0</v>
      </c>
      <c r="AF537" s="35">
        <v>2021</v>
      </c>
      <c r="AG537" s="35">
        <v>2021</v>
      </c>
      <c r="AH537" s="36">
        <v>2021</v>
      </c>
      <c r="AT537" s="21" t="e">
        <f t="shared" si="252"/>
        <v>#N/A</v>
      </c>
    </row>
    <row r="538" spans="1:46" ht="61.5" x14ac:dyDescent="0.85">
      <c r="A538" s="21">
        <v>1</v>
      </c>
      <c r="B538" s="70">
        <f>SUBTOTAL(103,$A$535:A538)</f>
        <v>4</v>
      </c>
      <c r="C538" s="25" t="s">
        <v>556</v>
      </c>
      <c r="D538" s="32">
        <f t="shared" si="254"/>
        <v>3263607.5799999996</v>
      </c>
      <c r="E538" s="32">
        <v>0</v>
      </c>
      <c r="F538" s="32">
        <v>0</v>
      </c>
      <c r="G538" s="32">
        <v>0</v>
      </c>
      <c r="H538" s="32">
        <v>0</v>
      </c>
      <c r="I538" s="32">
        <v>0</v>
      </c>
      <c r="J538" s="32">
        <v>0</v>
      </c>
      <c r="K538" s="34">
        <v>0</v>
      </c>
      <c r="L538" s="32">
        <v>0</v>
      </c>
      <c r="M538" s="32">
        <v>657.1</v>
      </c>
      <c r="N538" s="32">
        <v>3116854.76</v>
      </c>
      <c r="O538" s="32">
        <v>0</v>
      </c>
      <c r="P538" s="32">
        <v>0</v>
      </c>
      <c r="Q538" s="32">
        <v>0</v>
      </c>
      <c r="R538" s="32">
        <v>0</v>
      </c>
      <c r="S538" s="32">
        <v>0</v>
      </c>
      <c r="T538" s="32">
        <v>0</v>
      </c>
      <c r="U538" s="32">
        <v>0</v>
      </c>
      <c r="V538" s="32">
        <v>0</v>
      </c>
      <c r="W538" s="32">
        <v>0</v>
      </c>
      <c r="X538" s="32">
        <v>0</v>
      </c>
      <c r="Y538" s="32">
        <v>0</v>
      </c>
      <c r="Z538" s="32">
        <v>0</v>
      </c>
      <c r="AA538" s="32">
        <v>0</v>
      </c>
      <c r="AB538" s="32">
        <v>0</v>
      </c>
      <c r="AC538" s="32">
        <f t="shared" si="255"/>
        <v>46752.82</v>
      </c>
      <c r="AD538" s="32">
        <v>100000</v>
      </c>
      <c r="AE538" s="32">
        <v>0</v>
      </c>
      <c r="AF538" s="35">
        <v>2021</v>
      </c>
      <c r="AG538" s="35">
        <v>2021</v>
      </c>
      <c r="AH538" s="36">
        <v>2021</v>
      </c>
      <c r="AT538" s="21" t="e">
        <f t="shared" si="252"/>
        <v>#N/A</v>
      </c>
    </row>
    <row r="539" spans="1:46" ht="61.5" x14ac:dyDescent="0.85">
      <c r="A539" s="21">
        <v>1</v>
      </c>
      <c r="B539" s="70">
        <f>SUBTOTAL(103,$A$535:A539)</f>
        <v>5</v>
      </c>
      <c r="C539" s="25" t="s">
        <v>557</v>
      </c>
      <c r="D539" s="32">
        <f t="shared" si="254"/>
        <v>2149444.66</v>
      </c>
      <c r="E539" s="32">
        <v>0</v>
      </c>
      <c r="F539" s="32">
        <v>0</v>
      </c>
      <c r="G539" s="32">
        <v>0</v>
      </c>
      <c r="H539" s="32">
        <v>0</v>
      </c>
      <c r="I539" s="32">
        <v>0</v>
      </c>
      <c r="J539" s="32">
        <v>0</v>
      </c>
      <c r="K539" s="34">
        <v>1</v>
      </c>
      <c r="L539" s="32">
        <v>2079444.66</v>
      </c>
      <c r="M539" s="32">
        <v>0</v>
      </c>
      <c r="N539" s="32">
        <v>0</v>
      </c>
      <c r="O539" s="32">
        <v>0</v>
      </c>
      <c r="P539" s="32">
        <v>0</v>
      </c>
      <c r="Q539" s="32">
        <v>0</v>
      </c>
      <c r="R539" s="32">
        <v>0</v>
      </c>
      <c r="S539" s="32">
        <v>0</v>
      </c>
      <c r="T539" s="32">
        <v>0</v>
      </c>
      <c r="U539" s="32">
        <v>0</v>
      </c>
      <c r="V539" s="32">
        <v>0</v>
      </c>
      <c r="W539" s="32">
        <v>0</v>
      </c>
      <c r="X539" s="32">
        <v>0</v>
      </c>
      <c r="Y539" s="32">
        <v>0</v>
      </c>
      <c r="Z539" s="32">
        <v>0</v>
      </c>
      <c r="AA539" s="32">
        <v>0</v>
      </c>
      <c r="AB539" s="32">
        <v>0</v>
      </c>
      <c r="AC539" s="32">
        <v>0</v>
      </c>
      <c r="AD539" s="32">
        <v>70000</v>
      </c>
      <c r="AE539" s="32">
        <v>0</v>
      </c>
      <c r="AF539" s="35">
        <v>2021</v>
      </c>
      <c r="AG539" s="35">
        <v>2021</v>
      </c>
      <c r="AH539" s="36" t="s">
        <v>275</v>
      </c>
      <c r="AT539" s="21" t="e">
        <f t="shared" si="252"/>
        <v>#N/A</v>
      </c>
    </row>
    <row r="540" spans="1:46" ht="61.5" x14ac:dyDescent="0.85">
      <c r="A540" s="21">
        <v>1</v>
      </c>
      <c r="B540" s="70">
        <f>SUBTOTAL(103,$A$535:A540)</f>
        <v>6</v>
      </c>
      <c r="C540" s="25" t="s">
        <v>558</v>
      </c>
      <c r="D540" s="32">
        <f t="shared" si="254"/>
        <v>2149444.66</v>
      </c>
      <c r="E540" s="32">
        <v>0</v>
      </c>
      <c r="F540" s="32">
        <v>0</v>
      </c>
      <c r="G540" s="32">
        <v>0</v>
      </c>
      <c r="H540" s="32">
        <v>0</v>
      </c>
      <c r="I540" s="32">
        <v>0</v>
      </c>
      <c r="J540" s="32">
        <v>0</v>
      </c>
      <c r="K540" s="34">
        <v>1</v>
      </c>
      <c r="L540" s="32">
        <v>2079444.66</v>
      </c>
      <c r="M540" s="32">
        <v>0</v>
      </c>
      <c r="N540" s="32">
        <v>0</v>
      </c>
      <c r="O540" s="32">
        <v>0</v>
      </c>
      <c r="P540" s="32">
        <v>0</v>
      </c>
      <c r="Q540" s="32">
        <v>0</v>
      </c>
      <c r="R540" s="32">
        <v>0</v>
      </c>
      <c r="S540" s="32">
        <v>0</v>
      </c>
      <c r="T540" s="32">
        <v>0</v>
      </c>
      <c r="U540" s="32">
        <v>0</v>
      </c>
      <c r="V540" s="32">
        <v>0</v>
      </c>
      <c r="W540" s="32">
        <v>0</v>
      </c>
      <c r="X540" s="32">
        <v>0</v>
      </c>
      <c r="Y540" s="32">
        <v>0</v>
      </c>
      <c r="Z540" s="32">
        <v>0</v>
      </c>
      <c r="AA540" s="32">
        <v>0</v>
      </c>
      <c r="AB540" s="32">
        <v>0</v>
      </c>
      <c r="AC540" s="32">
        <v>0</v>
      </c>
      <c r="AD540" s="32">
        <v>70000</v>
      </c>
      <c r="AE540" s="32">
        <v>0</v>
      </c>
      <c r="AF540" s="35">
        <v>2021</v>
      </c>
      <c r="AG540" s="35">
        <v>2021</v>
      </c>
      <c r="AH540" s="36" t="s">
        <v>275</v>
      </c>
      <c r="AT540" s="21" t="e">
        <f t="shared" si="252"/>
        <v>#N/A</v>
      </c>
    </row>
    <row r="541" spans="1:46" ht="61.5" x14ac:dyDescent="0.85">
      <c r="A541" s="21">
        <v>1</v>
      </c>
      <c r="B541" s="70">
        <f>SUBTOTAL(103,$A$535:A541)</f>
        <v>7</v>
      </c>
      <c r="C541" s="25" t="s">
        <v>559</v>
      </c>
      <c r="D541" s="32">
        <f t="shared" si="254"/>
        <v>4642018.24</v>
      </c>
      <c r="E541" s="32">
        <v>0</v>
      </c>
      <c r="F541" s="32">
        <v>0</v>
      </c>
      <c r="G541" s="32">
        <v>0</v>
      </c>
      <c r="H541" s="32">
        <v>0</v>
      </c>
      <c r="I541" s="32">
        <v>0</v>
      </c>
      <c r="J541" s="32">
        <v>0</v>
      </c>
      <c r="K541" s="34">
        <v>0</v>
      </c>
      <c r="L541" s="32">
        <v>0</v>
      </c>
      <c r="M541" s="32">
        <v>980</v>
      </c>
      <c r="N541" s="32">
        <v>4474894.82</v>
      </c>
      <c r="O541" s="32">
        <v>0</v>
      </c>
      <c r="P541" s="32">
        <v>0</v>
      </c>
      <c r="Q541" s="32">
        <v>0</v>
      </c>
      <c r="R541" s="32">
        <v>0</v>
      </c>
      <c r="S541" s="32">
        <v>0</v>
      </c>
      <c r="T541" s="32">
        <v>0</v>
      </c>
      <c r="U541" s="32">
        <v>0</v>
      </c>
      <c r="V541" s="32">
        <v>0</v>
      </c>
      <c r="W541" s="32">
        <v>0</v>
      </c>
      <c r="X541" s="32">
        <v>0</v>
      </c>
      <c r="Y541" s="32">
        <v>0</v>
      </c>
      <c r="Z541" s="32">
        <v>0</v>
      </c>
      <c r="AA541" s="32">
        <v>0</v>
      </c>
      <c r="AB541" s="32">
        <v>0</v>
      </c>
      <c r="AC541" s="32">
        <f t="shared" ref="AC541:AC555" si="256">ROUND(N541*1.5%,2)</f>
        <v>67123.42</v>
      </c>
      <c r="AD541" s="32">
        <v>100000</v>
      </c>
      <c r="AE541" s="32">
        <v>0</v>
      </c>
      <c r="AF541" s="35">
        <v>2021</v>
      </c>
      <c r="AG541" s="35">
        <v>2021</v>
      </c>
      <c r="AH541" s="36">
        <v>2021</v>
      </c>
      <c r="AT541" s="21" t="e">
        <f t="shared" si="252"/>
        <v>#N/A</v>
      </c>
    </row>
    <row r="542" spans="1:46" ht="61.5" x14ac:dyDescent="0.85">
      <c r="A542" s="21">
        <v>1</v>
      </c>
      <c r="B542" s="70">
        <f>SUBTOTAL(103,$A$535:A542)</f>
        <v>8</v>
      </c>
      <c r="C542" s="25" t="s">
        <v>560</v>
      </c>
      <c r="D542" s="32">
        <f t="shared" si="254"/>
        <v>3518296.02</v>
      </c>
      <c r="E542" s="32">
        <v>0</v>
      </c>
      <c r="F542" s="32">
        <v>0</v>
      </c>
      <c r="G542" s="32">
        <v>0</v>
      </c>
      <c r="H542" s="32">
        <v>0</v>
      </c>
      <c r="I542" s="32">
        <v>0</v>
      </c>
      <c r="J542" s="32">
        <v>0</v>
      </c>
      <c r="K542" s="34">
        <v>0</v>
      </c>
      <c r="L542" s="32">
        <v>0</v>
      </c>
      <c r="M542" s="32">
        <v>710</v>
      </c>
      <c r="N542" s="32">
        <v>3367779.33</v>
      </c>
      <c r="O542" s="32">
        <v>0</v>
      </c>
      <c r="P542" s="32">
        <v>0</v>
      </c>
      <c r="Q542" s="32">
        <v>0</v>
      </c>
      <c r="R542" s="32">
        <v>0</v>
      </c>
      <c r="S542" s="32">
        <v>0</v>
      </c>
      <c r="T542" s="32">
        <v>0</v>
      </c>
      <c r="U542" s="32">
        <v>0</v>
      </c>
      <c r="V542" s="32">
        <v>0</v>
      </c>
      <c r="W542" s="32">
        <v>0</v>
      </c>
      <c r="X542" s="32">
        <v>0</v>
      </c>
      <c r="Y542" s="32">
        <v>0</v>
      </c>
      <c r="Z542" s="32">
        <v>0</v>
      </c>
      <c r="AA542" s="32">
        <v>0</v>
      </c>
      <c r="AB542" s="32">
        <v>0</v>
      </c>
      <c r="AC542" s="32">
        <f t="shared" si="256"/>
        <v>50516.69</v>
      </c>
      <c r="AD542" s="32">
        <v>100000</v>
      </c>
      <c r="AE542" s="32">
        <v>0</v>
      </c>
      <c r="AF542" s="35">
        <v>2021</v>
      </c>
      <c r="AG542" s="35">
        <v>2021</v>
      </c>
      <c r="AH542" s="36">
        <v>2021</v>
      </c>
      <c r="AT542" s="21" t="e">
        <f t="shared" si="252"/>
        <v>#N/A</v>
      </c>
    </row>
    <row r="543" spans="1:46" ht="61.5" x14ac:dyDescent="0.85">
      <c r="A543" s="21">
        <v>1</v>
      </c>
      <c r="B543" s="70">
        <f>SUBTOTAL(103,$A$535:A543)</f>
        <v>9</v>
      </c>
      <c r="C543" s="25" t="s">
        <v>1483</v>
      </c>
      <c r="D543" s="32">
        <f t="shared" si="254"/>
        <v>13689818</v>
      </c>
      <c r="E543" s="32">
        <v>0</v>
      </c>
      <c r="F543" s="32">
        <v>0</v>
      </c>
      <c r="G543" s="32">
        <v>0</v>
      </c>
      <c r="H543" s="32">
        <v>0</v>
      </c>
      <c r="I543" s="32">
        <v>0</v>
      </c>
      <c r="J543" s="32">
        <v>0</v>
      </c>
      <c r="K543" s="34">
        <v>6</v>
      </c>
      <c r="L543" s="32">
        <v>13489818</v>
      </c>
      <c r="M543" s="32">
        <v>0</v>
      </c>
      <c r="N543" s="32">
        <v>0</v>
      </c>
      <c r="O543" s="32">
        <v>0</v>
      </c>
      <c r="P543" s="32">
        <v>0</v>
      </c>
      <c r="Q543" s="32">
        <v>0</v>
      </c>
      <c r="R543" s="32">
        <v>0</v>
      </c>
      <c r="S543" s="32">
        <v>0</v>
      </c>
      <c r="T543" s="32">
        <v>0</v>
      </c>
      <c r="U543" s="32">
        <v>0</v>
      </c>
      <c r="V543" s="32">
        <v>0</v>
      </c>
      <c r="W543" s="32">
        <v>0</v>
      </c>
      <c r="X543" s="32">
        <v>0</v>
      </c>
      <c r="Y543" s="32">
        <v>0</v>
      </c>
      <c r="Z543" s="32">
        <v>0</v>
      </c>
      <c r="AA543" s="32">
        <v>0</v>
      </c>
      <c r="AB543" s="32">
        <v>0</v>
      </c>
      <c r="AC543" s="32">
        <v>0</v>
      </c>
      <c r="AD543" s="32">
        <v>200000</v>
      </c>
      <c r="AE543" s="32">
        <v>0</v>
      </c>
      <c r="AF543" s="35">
        <v>2021</v>
      </c>
      <c r="AG543" s="35">
        <v>2021</v>
      </c>
      <c r="AH543" s="36" t="s">
        <v>275</v>
      </c>
    </row>
    <row r="544" spans="1:46" ht="61.5" x14ac:dyDescent="0.85">
      <c r="A544" s="21">
        <v>1</v>
      </c>
      <c r="B544" s="70">
        <f>SUBTOTAL(103,$A$535:A544)</f>
        <v>10</v>
      </c>
      <c r="C544" s="25" t="s">
        <v>561</v>
      </c>
      <c r="D544" s="32">
        <f t="shared" si="254"/>
        <v>2570383.31</v>
      </c>
      <c r="E544" s="32">
        <v>0</v>
      </c>
      <c r="F544" s="32">
        <v>0</v>
      </c>
      <c r="G544" s="32">
        <v>0</v>
      </c>
      <c r="H544" s="32">
        <v>0</v>
      </c>
      <c r="I544" s="32">
        <v>0</v>
      </c>
      <c r="J544" s="32">
        <v>0</v>
      </c>
      <c r="K544" s="34">
        <v>0</v>
      </c>
      <c r="L544" s="32">
        <v>0</v>
      </c>
      <c r="M544" s="32">
        <v>520</v>
      </c>
      <c r="N544" s="32">
        <v>2433875.1800000002</v>
      </c>
      <c r="O544" s="32">
        <v>0</v>
      </c>
      <c r="P544" s="32">
        <v>0</v>
      </c>
      <c r="Q544" s="32">
        <v>0</v>
      </c>
      <c r="R544" s="32">
        <v>0</v>
      </c>
      <c r="S544" s="32">
        <v>0</v>
      </c>
      <c r="T544" s="32">
        <v>0</v>
      </c>
      <c r="U544" s="32">
        <v>0</v>
      </c>
      <c r="V544" s="32">
        <v>0</v>
      </c>
      <c r="W544" s="32">
        <v>0</v>
      </c>
      <c r="X544" s="32">
        <v>0</v>
      </c>
      <c r="Y544" s="32">
        <v>0</v>
      </c>
      <c r="Z544" s="32">
        <v>0</v>
      </c>
      <c r="AA544" s="32">
        <v>0</v>
      </c>
      <c r="AB544" s="32">
        <v>0</v>
      </c>
      <c r="AC544" s="32">
        <f t="shared" si="256"/>
        <v>36508.129999999997</v>
      </c>
      <c r="AD544" s="32">
        <v>100000</v>
      </c>
      <c r="AE544" s="32">
        <v>0</v>
      </c>
      <c r="AF544" s="35">
        <v>2021</v>
      </c>
      <c r="AG544" s="35">
        <v>2021</v>
      </c>
      <c r="AH544" s="36">
        <v>2021</v>
      </c>
      <c r="AT544" s="21" t="e">
        <f t="shared" ref="AT544:AT555" si="257">VLOOKUP(C544,AW:AX,2,FALSE)</f>
        <v>#N/A</v>
      </c>
    </row>
    <row r="545" spans="1:46" ht="61.5" x14ac:dyDescent="0.85">
      <c r="A545" s="21">
        <v>1</v>
      </c>
      <c r="B545" s="70">
        <f>SUBTOTAL(103,$A$535:A545)</f>
        <v>11</v>
      </c>
      <c r="C545" s="25" t="s">
        <v>562</v>
      </c>
      <c r="D545" s="32">
        <f t="shared" si="254"/>
        <v>4554037.87</v>
      </c>
      <c r="E545" s="32">
        <v>0</v>
      </c>
      <c r="F545" s="32">
        <v>0</v>
      </c>
      <c r="G545" s="32">
        <v>0</v>
      </c>
      <c r="H545" s="32">
        <v>0</v>
      </c>
      <c r="I545" s="32">
        <v>0</v>
      </c>
      <c r="J545" s="32">
        <v>0</v>
      </c>
      <c r="K545" s="34">
        <v>0</v>
      </c>
      <c r="L545" s="32">
        <v>0</v>
      </c>
      <c r="M545" s="32">
        <v>925.13</v>
      </c>
      <c r="N545" s="32">
        <v>4388214.6500000004</v>
      </c>
      <c r="O545" s="32">
        <v>0</v>
      </c>
      <c r="P545" s="32">
        <v>0</v>
      </c>
      <c r="Q545" s="32">
        <v>0</v>
      </c>
      <c r="R545" s="32">
        <v>0</v>
      </c>
      <c r="S545" s="32">
        <v>0</v>
      </c>
      <c r="T545" s="32">
        <v>0</v>
      </c>
      <c r="U545" s="32">
        <v>0</v>
      </c>
      <c r="V545" s="32">
        <v>0</v>
      </c>
      <c r="W545" s="32">
        <v>0</v>
      </c>
      <c r="X545" s="32">
        <v>0</v>
      </c>
      <c r="Y545" s="32">
        <v>0</v>
      </c>
      <c r="Z545" s="32">
        <v>0</v>
      </c>
      <c r="AA545" s="32">
        <v>0</v>
      </c>
      <c r="AB545" s="32">
        <v>0</v>
      </c>
      <c r="AC545" s="32">
        <f t="shared" si="256"/>
        <v>65823.22</v>
      </c>
      <c r="AD545" s="32">
        <v>100000</v>
      </c>
      <c r="AE545" s="32">
        <v>0</v>
      </c>
      <c r="AF545" s="35">
        <v>2021</v>
      </c>
      <c r="AG545" s="35">
        <v>2021</v>
      </c>
      <c r="AH545" s="36">
        <v>2021</v>
      </c>
      <c r="AT545" s="21" t="e">
        <f t="shared" si="257"/>
        <v>#N/A</v>
      </c>
    </row>
    <row r="546" spans="1:46" ht="61.5" x14ac:dyDescent="0.85">
      <c r="A546" s="21">
        <v>1</v>
      </c>
      <c r="B546" s="70">
        <f>SUBTOTAL(103,$A$535:A546)</f>
        <v>12</v>
      </c>
      <c r="C546" s="25" t="s">
        <v>563</v>
      </c>
      <c r="D546" s="32">
        <f t="shared" si="254"/>
        <v>3759019.5700000003</v>
      </c>
      <c r="E546" s="32">
        <v>0</v>
      </c>
      <c r="F546" s="32">
        <v>0</v>
      </c>
      <c r="G546" s="32">
        <v>0</v>
      </c>
      <c r="H546" s="32">
        <v>0</v>
      </c>
      <c r="I546" s="32">
        <v>0</v>
      </c>
      <c r="J546" s="32">
        <v>0</v>
      </c>
      <c r="K546" s="34">
        <v>0</v>
      </c>
      <c r="L546" s="32">
        <v>0</v>
      </c>
      <c r="M546" s="32">
        <v>760</v>
      </c>
      <c r="N546" s="32">
        <v>3604945.39</v>
      </c>
      <c r="O546" s="32">
        <v>0</v>
      </c>
      <c r="P546" s="32">
        <v>0</v>
      </c>
      <c r="Q546" s="32">
        <v>0</v>
      </c>
      <c r="R546" s="32">
        <v>0</v>
      </c>
      <c r="S546" s="32">
        <v>0</v>
      </c>
      <c r="T546" s="32">
        <v>0</v>
      </c>
      <c r="U546" s="32">
        <v>0</v>
      </c>
      <c r="V546" s="32">
        <v>0</v>
      </c>
      <c r="W546" s="32">
        <v>0</v>
      </c>
      <c r="X546" s="32">
        <v>0</v>
      </c>
      <c r="Y546" s="32">
        <v>0</v>
      </c>
      <c r="Z546" s="32">
        <v>0</v>
      </c>
      <c r="AA546" s="32">
        <v>0</v>
      </c>
      <c r="AB546" s="32">
        <v>0</v>
      </c>
      <c r="AC546" s="32">
        <f t="shared" si="256"/>
        <v>54074.18</v>
      </c>
      <c r="AD546" s="32">
        <v>100000</v>
      </c>
      <c r="AE546" s="32">
        <v>0</v>
      </c>
      <c r="AF546" s="35">
        <v>2021</v>
      </c>
      <c r="AG546" s="35">
        <v>2021</v>
      </c>
      <c r="AH546" s="36">
        <v>2021</v>
      </c>
      <c r="AT546" s="21" t="e">
        <f t="shared" si="257"/>
        <v>#N/A</v>
      </c>
    </row>
    <row r="547" spans="1:46" ht="61.5" x14ac:dyDescent="0.85">
      <c r="A547" s="21">
        <v>1</v>
      </c>
      <c r="B547" s="70">
        <f>SUBTOTAL(103,$A$535:A547)</f>
        <v>13</v>
      </c>
      <c r="C547" s="25" t="s">
        <v>564</v>
      </c>
      <c r="D547" s="32">
        <f t="shared" si="254"/>
        <v>2589386.2599999998</v>
      </c>
      <c r="E547" s="32">
        <v>0</v>
      </c>
      <c r="F547" s="32">
        <v>0</v>
      </c>
      <c r="G547" s="32">
        <v>0</v>
      </c>
      <c r="H547" s="32">
        <v>0</v>
      </c>
      <c r="I547" s="32">
        <v>0</v>
      </c>
      <c r="J547" s="32">
        <v>0</v>
      </c>
      <c r="K547" s="34">
        <v>0</v>
      </c>
      <c r="L547" s="32">
        <v>0</v>
      </c>
      <c r="M547" s="32">
        <v>524</v>
      </c>
      <c r="N547" s="32">
        <v>2452597.2999999998</v>
      </c>
      <c r="O547" s="32">
        <v>0</v>
      </c>
      <c r="P547" s="32">
        <v>0</v>
      </c>
      <c r="Q547" s="32">
        <v>0</v>
      </c>
      <c r="R547" s="32">
        <v>0</v>
      </c>
      <c r="S547" s="32">
        <v>0</v>
      </c>
      <c r="T547" s="32">
        <v>0</v>
      </c>
      <c r="U547" s="32">
        <v>0</v>
      </c>
      <c r="V547" s="32">
        <v>0</v>
      </c>
      <c r="W547" s="32">
        <v>0</v>
      </c>
      <c r="X547" s="32">
        <v>0</v>
      </c>
      <c r="Y547" s="32">
        <v>0</v>
      </c>
      <c r="Z547" s="32">
        <v>0</v>
      </c>
      <c r="AA547" s="32">
        <v>0</v>
      </c>
      <c r="AB547" s="32">
        <v>0</v>
      </c>
      <c r="AC547" s="32">
        <f t="shared" si="256"/>
        <v>36788.959999999999</v>
      </c>
      <c r="AD547" s="32">
        <v>100000</v>
      </c>
      <c r="AE547" s="32">
        <v>0</v>
      </c>
      <c r="AF547" s="35">
        <v>2021</v>
      </c>
      <c r="AG547" s="35">
        <v>2021</v>
      </c>
      <c r="AH547" s="36">
        <v>2021</v>
      </c>
      <c r="AT547" s="21" t="e">
        <f t="shared" si="257"/>
        <v>#N/A</v>
      </c>
    </row>
    <row r="548" spans="1:46" ht="61.5" x14ac:dyDescent="0.85">
      <c r="A548" s="21">
        <v>1</v>
      </c>
      <c r="B548" s="70">
        <f>SUBTOTAL(103,$A$535:A548)</f>
        <v>14</v>
      </c>
      <c r="C548" s="25" t="s">
        <v>565</v>
      </c>
      <c r="D548" s="32">
        <f t="shared" si="254"/>
        <v>5092635.92</v>
      </c>
      <c r="E548" s="32">
        <v>0</v>
      </c>
      <c r="F548" s="32">
        <v>0</v>
      </c>
      <c r="G548" s="32">
        <v>0</v>
      </c>
      <c r="H548" s="32">
        <v>0</v>
      </c>
      <c r="I548" s="32">
        <v>0</v>
      </c>
      <c r="J548" s="32">
        <v>0</v>
      </c>
      <c r="K548" s="34">
        <v>0</v>
      </c>
      <c r="L548" s="32">
        <v>0</v>
      </c>
      <c r="M548" s="32">
        <v>1037</v>
      </c>
      <c r="N548" s="32">
        <v>4918853.12</v>
      </c>
      <c r="O548" s="32">
        <v>0</v>
      </c>
      <c r="P548" s="32">
        <v>0</v>
      </c>
      <c r="Q548" s="32">
        <v>0</v>
      </c>
      <c r="R548" s="32">
        <v>0</v>
      </c>
      <c r="S548" s="32">
        <v>0</v>
      </c>
      <c r="T548" s="32">
        <v>0</v>
      </c>
      <c r="U548" s="32">
        <v>0</v>
      </c>
      <c r="V548" s="32">
        <v>0</v>
      </c>
      <c r="W548" s="32">
        <v>0</v>
      </c>
      <c r="X548" s="32">
        <v>0</v>
      </c>
      <c r="Y548" s="32">
        <v>0</v>
      </c>
      <c r="Z548" s="32">
        <v>0</v>
      </c>
      <c r="AA548" s="32">
        <v>0</v>
      </c>
      <c r="AB548" s="32">
        <v>0</v>
      </c>
      <c r="AC548" s="32">
        <f t="shared" si="256"/>
        <v>73782.8</v>
      </c>
      <c r="AD548" s="32">
        <v>100000</v>
      </c>
      <c r="AE548" s="32">
        <v>0</v>
      </c>
      <c r="AF548" s="35">
        <v>2021</v>
      </c>
      <c r="AG548" s="35">
        <v>2021</v>
      </c>
      <c r="AH548" s="36">
        <v>2021</v>
      </c>
      <c r="AT548" s="21" t="e">
        <f t="shared" si="257"/>
        <v>#N/A</v>
      </c>
    </row>
    <row r="549" spans="1:46" ht="61.5" x14ac:dyDescent="0.85">
      <c r="A549" s="21">
        <v>1</v>
      </c>
      <c r="B549" s="70">
        <f>SUBTOTAL(103,$A$535:A549)</f>
        <v>15</v>
      </c>
      <c r="C549" s="25" t="s">
        <v>566</v>
      </c>
      <c r="D549" s="32">
        <f t="shared" si="254"/>
        <v>3229425.65</v>
      </c>
      <c r="E549" s="32">
        <v>0</v>
      </c>
      <c r="F549" s="32">
        <v>0</v>
      </c>
      <c r="G549" s="32">
        <v>0</v>
      </c>
      <c r="H549" s="32">
        <v>0</v>
      </c>
      <c r="I549" s="32">
        <v>0</v>
      </c>
      <c r="J549" s="32">
        <v>0</v>
      </c>
      <c r="K549" s="34">
        <v>0</v>
      </c>
      <c r="L549" s="32">
        <v>0</v>
      </c>
      <c r="M549" s="32">
        <v>650</v>
      </c>
      <c r="N549" s="32">
        <v>3083177.98</v>
      </c>
      <c r="O549" s="32">
        <v>0</v>
      </c>
      <c r="P549" s="32">
        <v>0</v>
      </c>
      <c r="Q549" s="32">
        <v>0</v>
      </c>
      <c r="R549" s="32">
        <v>0</v>
      </c>
      <c r="S549" s="32">
        <v>0</v>
      </c>
      <c r="T549" s="32">
        <v>0</v>
      </c>
      <c r="U549" s="32">
        <v>0</v>
      </c>
      <c r="V549" s="32">
        <v>0</v>
      </c>
      <c r="W549" s="32">
        <v>0</v>
      </c>
      <c r="X549" s="32">
        <v>0</v>
      </c>
      <c r="Y549" s="32">
        <v>0</v>
      </c>
      <c r="Z549" s="32">
        <v>0</v>
      </c>
      <c r="AA549" s="32">
        <v>0</v>
      </c>
      <c r="AB549" s="32">
        <v>0</v>
      </c>
      <c r="AC549" s="32">
        <f t="shared" si="256"/>
        <v>46247.67</v>
      </c>
      <c r="AD549" s="32">
        <v>100000</v>
      </c>
      <c r="AE549" s="32">
        <v>0</v>
      </c>
      <c r="AF549" s="35">
        <v>2021</v>
      </c>
      <c r="AG549" s="35">
        <v>2021</v>
      </c>
      <c r="AH549" s="36">
        <v>2021</v>
      </c>
      <c r="AT549" s="21" t="e">
        <f t="shared" si="257"/>
        <v>#N/A</v>
      </c>
    </row>
    <row r="550" spans="1:46" ht="61.5" x14ac:dyDescent="0.85">
      <c r="A550" s="21">
        <v>1</v>
      </c>
      <c r="B550" s="70">
        <f>SUBTOTAL(103,$A$535:A550)</f>
        <v>16</v>
      </c>
      <c r="C550" s="25" t="s">
        <v>567</v>
      </c>
      <c r="D550" s="32">
        <f t="shared" si="254"/>
        <v>5398710.1299999999</v>
      </c>
      <c r="E550" s="32">
        <v>0</v>
      </c>
      <c r="F550" s="32">
        <v>0</v>
      </c>
      <c r="G550" s="32">
        <v>0</v>
      </c>
      <c r="H550" s="32">
        <v>0</v>
      </c>
      <c r="I550" s="32">
        <v>0</v>
      </c>
      <c r="J550" s="32">
        <v>0</v>
      </c>
      <c r="K550" s="34">
        <v>0</v>
      </c>
      <c r="L550" s="32">
        <v>0</v>
      </c>
      <c r="M550" s="32">
        <v>1068</v>
      </c>
      <c r="N550" s="32">
        <v>5220404.07</v>
      </c>
      <c r="O550" s="32">
        <v>0</v>
      </c>
      <c r="P550" s="32">
        <v>0</v>
      </c>
      <c r="Q550" s="32">
        <v>0</v>
      </c>
      <c r="R550" s="32">
        <v>0</v>
      </c>
      <c r="S550" s="32">
        <v>0</v>
      </c>
      <c r="T550" s="32">
        <v>0</v>
      </c>
      <c r="U550" s="32">
        <v>0</v>
      </c>
      <c r="V550" s="32">
        <v>0</v>
      </c>
      <c r="W550" s="32">
        <v>0</v>
      </c>
      <c r="X550" s="32">
        <v>0</v>
      </c>
      <c r="Y550" s="32">
        <v>0</v>
      </c>
      <c r="Z550" s="32">
        <v>0</v>
      </c>
      <c r="AA550" s="32">
        <v>0</v>
      </c>
      <c r="AB550" s="32">
        <v>0</v>
      </c>
      <c r="AC550" s="32">
        <f t="shared" si="256"/>
        <v>78306.06</v>
      </c>
      <c r="AD550" s="32">
        <v>100000</v>
      </c>
      <c r="AE550" s="32">
        <v>0</v>
      </c>
      <c r="AF550" s="35">
        <v>2021</v>
      </c>
      <c r="AG550" s="35">
        <v>2021</v>
      </c>
      <c r="AH550" s="36">
        <v>2021</v>
      </c>
      <c r="AT550" s="21" t="e">
        <f t="shared" si="257"/>
        <v>#N/A</v>
      </c>
    </row>
    <row r="551" spans="1:46" ht="61.5" x14ac:dyDescent="0.85">
      <c r="A551" s="21">
        <v>1</v>
      </c>
      <c r="B551" s="70">
        <f>SUBTOTAL(103,$A$535:A551)</f>
        <v>17</v>
      </c>
      <c r="C551" s="25" t="s">
        <v>568</v>
      </c>
      <c r="D551" s="32">
        <f t="shared" si="254"/>
        <v>5145091.9399999995</v>
      </c>
      <c r="E551" s="32">
        <v>0</v>
      </c>
      <c r="F551" s="32">
        <v>0</v>
      </c>
      <c r="G551" s="32">
        <v>0</v>
      </c>
      <c r="H551" s="32">
        <v>0</v>
      </c>
      <c r="I551" s="32">
        <v>0</v>
      </c>
      <c r="J551" s="32">
        <v>0</v>
      </c>
      <c r="K551" s="34">
        <v>0</v>
      </c>
      <c r="L551" s="32">
        <v>0</v>
      </c>
      <c r="M551" s="32">
        <v>1062</v>
      </c>
      <c r="N551" s="32">
        <v>4970533.93</v>
      </c>
      <c r="O551" s="32">
        <v>0</v>
      </c>
      <c r="P551" s="32">
        <v>0</v>
      </c>
      <c r="Q551" s="32">
        <v>0</v>
      </c>
      <c r="R551" s="32">
        <v>0</v>
      </c>
      <c r="S551" s="32">
        <v>0</v>
      </c>
      <c r="T551" s="32">
        <v>0</v>
      </c>
      <c r="U551" s="32">
        <v>0</v>
      </c>
      <c r="V551" s="32">
        <v>0</v>
      </c>
      <c r="W551" s="32">
        <v>0</v>
      </c>
      <c r="X551" s="32">
        <v>0</v>
      </c>
      <c r="Y551" s="32">
        <v>0</v>
      </c>
      <c r="Z551" s="32">
        <v>0</v>
      </c>
      <c r="AA551" s="32">
        <v>0</v>
      </c>
      <c r="AB551" s="32">
        <v>0</v>
      </c>
      <c r="AC551" s="32">
        <f t="shared" si="256"/>
        <v>74558.009999999995</v>
      </c>
      <c r="AD551" s="32">
        <v>100000</v>
      </c>
      <c r="AE551" s="32">
        <v>0</v>
      </c>
      <c r="AF551" s="35">
        <v>2021</v>
      </c>
      <c r="AG551" s="35">
        <v>2021</v>
      </c>
      <c r="AH551" s="36">
        <v>2021</v>
      </c>
      <c r="AT551" s="21" t="e">
        <f t="shared" si="257"/>
        <v>#N/A</v>
      </c>
    </row>
    <row r="552" spans="1:46" ht="61.5" x14ac:dyDescent="0.85">
      <c r="A552" s="21">
        <v>1</v>
      </c>
      <c r="B552" s="70">
        <f>SUBTOTAL(103,$A$535:A552)</f>
        <v>18</v>
      </c>
      <c r="C552" s="25" t="s">
        <v>569</v>
      </c>
      <c r="D552" s="32">
        <f t="shared" si="254"/>
        <v>4517275.3499999996</v>
      </c>
      <c r="E552" s="32">
        <v>0</v>
      </c>
      <c r="F552" s="32">
        <v>0</v>
      </c>
      <c r="G552" s="32">
        <v>0</v>
      </c>
      <c r="H552" s="32">
        <v>0</v>
      </c>
      <c r="I552" s="32">
        <v>0</v>
      </c>
      <c r="J552" s="32">
        <v>0</v>
      </c>
      <c r="K552" s="34">
        <v>0</v>
      </c>
      <c r="L552" s="32">
        <v>0</v>
      </c>
      <c r="M552" s="32">
        <v>980</v>
      </c>
      <c r="N552" s="32">
        <v>4351995.42</v>
      </c>
      <c r="O552" s="32">
        <v>0</v>
      </c>
      <c r="P552" s="32">
        <v>0</v>
      </c>
      <c r="Q552" s="32">
        <v>0</v>
      </c>
      <c r="R552" s="32">
        <v>0</v>
      </c>
      <c r="S552" s="32">
        <v>0</v>
      </c>
      <c r="T552" s="32">
        <v>0</v>
      </c>
      <c r="U552" s="32">
        <v>0</v>
      </c>
      <c r="V552" s="32">
        <v>0</v>
      </c>
      <c r="W552" s="32">
        <v>0</v>
      </c>
      <c r="X552" s="32">
        <v>0</v>
      </c>
      <c r="Y552" s="32">
        <v>0</v>
      </c>
      <c r="Z552" s="32">
        <v>0</v>
      </c>
      <c r="AA552" s="32">
        <v>0</v>
      </c>
      <c r="AB552" s="32">
        <v>0</v>
      </c>
      <c r="AC552" s="32">
        <f t="shared" si="256"/>
        <v>65279.93</v>
      </c>
      <c r="AD552" s="32">
        <v>100000</v>
      </c>
      <c r="AE552" s="32">
        <v>0</v>
      </c>
      <c r="AF552" s="35">
        <v>2021</v>
      </c>
      <c r="AG552" s="35">
        <v>2021</v>
      </c>
      <c r="AH552" s="36">
        <v>2021</v>
      </c>
      <c r="AT552" s="21" t="e">
        <f t="shared" si="257"/>
        <v>#N/A</v>
      </c>
    </row>
    <row r="553" spans="1:46" ht="61.5" x14ac:dyDescent="0.85">
      <c r="A553" s="21">
        <v>1</v>
      </c>
      <c r="B553" s="70">
        <f>SUBTOTAL(103,$A$535:A553)</f>
        <v>19</v>
      </c>
      <c r="C553" s="25" t="s">
        <v>848</v>
      </c>
      <c r="D553" s="32">
        <f t="shared" si="254"/>
        <v>2739901.57</v>
      </c>
      <c r="E553" s="32">
        <v>0</v>
      </c>
      <c r="F553" s="32">
        <v>0</v>
      </c>
      <c r="G553" s="32">
        <v>0</v>
      </c>
      <c r="H553" s="32">
        <v>0</v>
      </c>
      <c r="I553" s="32">
        <v>0</v>
      </c>
      <c r="J553" s="32">
        <v>0</v>
      </c>
      <c r="K553" s="34">
        <v>0</v>
      </c>
      <c r="L553" s="32">
        <v>0</v>
      </c>
      <c r="M553" s="32">
        <v>635</v>
      </c>
      <c r="N553" s="32">
        <v>2600888.25</v>
      </c>
      <c r="O553" s="32">
        <v>0</v>
      </c>
      <c r="P553" s="32">
        <v>0</v>
      </c>
      <c r="Q553" s="32">
        <v>0</v>
      </c>
      <c r="R553" s="32">
        <v>0</v>
      </c>
      <c r="S553" s="32">
        <v>0</v>
      </c>
      <c r="T553" s="32">
        <v>0</v>
      </c>
      <c r="U553" s="32">
        <v>0</v>
      </c>
      <c r="V553" s="32">
        <v>0</v>
      </c>
      <c r="W553" s="32">
        <v>0</v>
      </c>
      <c r="X553" s="32">
        <v>0</v>
      </c>
      <c r="Y553" s="32">
        <v>0</v>
      </c>
      <c r="Z553" s="32">
        <v>0</v>
      </c>
      <c r="AA553" s="32">
        <v>0</v>
      </c>
      <c r="AB553" s="32">
        <v>0</v>
      </c>
      <c r="AC553" s="32">
        <f t="shared" si="256"/>
        <v>39013.32</v>
      </c>
      <c r="AD553" s="32">
        <v>100000</v>
      </c>
      <c r="AE553" s="32">
        <v>0</v>
      </c>
      <c r="AF553" s="35">
        <v>2021</v>
      </c>
      <c r="AG553" s="35">
        <v>2021</v>
      </c>
      <c r="AH553" s="36">
        <v>2021</v>
      </c>
      <c r="AT553" s="21" t="e">
        <f t="shared" si="257"/>
        <v>#N/A</v>
      </c>
    </row>
    <row r="554" spans="1:46" ht="61.5" x14ac:dyDescent="0.85">
      <c r="A554" s="21">
        <v>1</v>
      </c>
      <c r="B554" s="70">
        <f>SUBTOTAL(103,$A$535:A554)</f>
        <v>20</v>
      </c>
      <c r="C554" s="25" t="s">
        <v>570</v>
      </c>
      <c r="D554" s="32">
        <f t="shared" si="254"/>
        <v>4549323.9899999993</v>
      </c>
      <c r="E554" s="32">
        <v>0</v>
      </c>
      <c r="F554" s="32">
        <v>0</v>
      </c>
      <c r="G554" s="32">
        <v>0</v>
      </c>
      <c r="H554" s="32">
        <v>0</v>
      </c>
      <c r="I554" s="32">
        <v>0</v>
      </c>
      <c r="J554" s="32">
        <v>0</v>
      </c>
      <c r="K554" s="34">
        <v>0</v>
      </c>
      <c r="L554" s="32">
        <v>0</v>
      </c>
      <c r="M554" s="32">
        <v>960</v>
      </c>
      <c r="N554" s="32">
        <v>4383570.43</v>
      </c>
      <c r="O554" s="32">
        <v>0</v>
      </c>
      <c r="P554" s="32">
        <v>0</v>
      </c>
      <c r="Q554" s="32">
        <v>0</v>
      </c>
      <c r="R554" s="32">
        <v>0</v>
      </c>
      <c r="S554" s="32">
        <v>0</v>
      </c>
      <c r="T554" s="32">
        <v>0</v>
      </c>
      <c r="U554" s="32">
        <v>0</v>
      </c>
      <c r="V554" s="32">
        <v>0</v>
      </c>
      <c r="W554" s="32">
        <v>0</v>
      </c>
      <c r="X554" s="32">
        <v>0</v>
      </c>
      <c r="Y554" s="32">
        <v>0</v>
      </c>
      <c r="Z554" s="32">
        <v>0</v>
      </c>
      <c r="AA554" s="32">
        <v>0</v>
      </c>
      <c r="AB554" s="32">
        <v>0</v>
      </c>
      <c r="AC554" s="32">
        <f t="shared" si="256"/>
        <v>65753.56</v>
      </c>
      <c r="AD554" s="32">
        <v>100000</v>
      </c>
      <c r="AE554" s="32">
        <v>0</v>
      </c>
      <c r="AF554" s="35">
        <v>2021</v>
      </c>
      <c r="AG554" s="35">
        <v>2021</v>
      </c>
      <c r="AH554" s="36">
        <v>2021</v>
      </c>
      <c r="AT554" s="21" t="e">
        <f t="shared" si="257"/>
        <v>#N/A</v>
      </c>
    </row>
    <row r="555" spans="1:46" ht="61.5" x14ac:dyDescent="0.85">
      <c r="A555" s="21">
        <v>1</v>
      </c>
      <c r="B555" s="70">
        <f>SUBTOTAL(103,$A$535:A555)</f>
        <v>21</v>
      </c>
      <c r="C555" s="25" t="s">
        <v>571</v>
      </c>
      <c r="D555" s="32">
        <f t="shared" si="254"/>
        <v>3661902.1799999997</v>
      </c>
      <c r="E555" s="32">
        <v>0</v>
      </c>
      <c r="F555" s="32">
        <v>0</v>
      </c>
      <c r="G555" s="32">
        <v>0</v>
      </c>
      <c r="H555" s="32">
        <v>0</v>
      </c>
      <c r="I555" s="32">
        <v>0</v>
      </c>
      <c r="J555" s="32">
        <v>0</v>
      </c>
      <c r="K555" s="34">
        <v>0</v>
      </c>
      <c r="L555" s="32">
        <v>0</v>
      </c>
      <c r="M555" s="32">
        <v>775</v>
      </c>
      <c r="N555" s="32">
        <v>3538819.88</v>
      </c>
      <c r="O555" s="32">
        <v>0</v>
      </c>
      <c r="P555" s="32">
        <v>0</v>
      </c>
      <c r="Q555" s="32">
        <v>0</v>
      </c>
      <c r="R555" s="32">
        <v>0</v>
      </c>
      <c r="S555" s="32">
        <v>0</v>
      </c>
      <c r="T555" s="32">
        <v>0</v>
      </c>
      <c r="U555" s="32">
        <v>0</v>
      </c>
      <c r="V555" s="32">
        <v>0</v>
      </c>
      <c r="W555" s="32">
        <v>0</v>
      </c>
      <c r="X555" s="32">
        <v>0</v>
      </c>
      <c r="Y555" s="32">
        <v>0</v>
      </c>
      <c r="Z555" s="32">
        <v>0</v>
      </c>
      <c r="AA555" s="32">
        <v>0</v>
      </c>
      <c r="AB555" s="32">
        <v>0</v>
      </c>
      <c r="AC555" s="32">
        <f t="shared" si="256"/>
        <v>53082.3</v>
      </c>
      <c r="AD555" s="32">
        <v>70000</v>
      </c>
      <c r="AE555" s="32">
        <v>0</v>
      </c>
      <c r="AF555" s="35">
        <v>2021</v>
      </c>
      <c r="AG555" s="35">
        <v>2021</v>
      </c>
      <c r="AH555" s="36">
        <v>2021</v>
      </c>
      <c r="AT555" s="21" t="e">
        <f t="shared" si="257"/>
        <v>#N/A</v>
      </c>
    </row>
    <row r="556" spans="1:46" ht="61.5" x14ac:dyDescent="0.85">
      <c r="A556" s="21">
        <v>1</v>
      </c>
      <c r="B556" s="70">
        <f>SUBTOTAL(103,$A$535:A556)</f>
        <v>22</v>
      </c>
      <c r="C556" s="25" t="s">
        <v>1509</v>
      </c>
      <c r="D556" s="32">
        <f t="shared" si="254"/>
        <v>5911583.5</v>
      </c>
      <c r="E556" s="32">
        <v>0</v>
      </c>
      <c r="F556" s="32">
        <v>0</v>
      </c>
      <c r="G556" s="32">
        <v>0</v>
      </c>
      <c r="H556" s="32">
        <v>0</v>
      </c>
      <c r="I556" s="32">
        <v>0</v>
      </c>
      <c r="J556" s="32">
        <v>0</v>
      </c>
      <c r="K556" s="34">
        <v>0</v>
      </c>
      <c r="L556" s="32">
        <v>0</v>
      </c>
      <c r="M556" s="32">
        <v>1207.0999999999999</v>
      </c>
      <c r="N556" s="32">
        <v>5725698.0300000003</v>
      </c>
      <c r="O556" s="32">
        <v>0</v>
      </c>
      <c r="P556" s="32">
        <v>0</v>
      </c>
      <c r="Q556" s="32">
        <v>0</v>
      </c>
      <c r="R556" s="32">
        <v>0</v>
      </c>
      <c r="S556" s="32">
        <v>0</v>
      </c>
      <c r="T556" s="32">
        <v>0</v>
      </c>
      <c r="U556" s="32">
        <v>0</v>
      </c>
      <c r="V556" s="32">
        <v>0</v>
      </c>
      <c r="W556" s="32">
        <v>0</v>
      </c>
      <c r="X556" s="32">
        <v>0</v>
      </c>
      <c r="Y556" s="32">
        <v>0</v>
      </c>
      <c r="Z556" s="32">
        <v>0</v>
      </c>
      <c r="AA556" s="32">
        <v>0</v>
      </c>
      <c r="AB556" s="32">
        <v>0</v>
      </c>
      <c r="AC556" s="32">
        <v>85885.47</v>
      </c>
      <c r="AD556" s="32">
        <v>100000</v>
      </c>
      <c r="AE556" s="32">
        <v>0</v>
      </c>
      <c r="AF556" s="35">
        <v>2021</v>
      </c>
      <c r="AG556" s="35">
        <v>2021</v>
      </c>
      <c r="AH556" s="36">
        <v>2021</v>
      </c>
    </row>
    <row r="557" spans="1:46" ht="61.5" x14ac:dyDescent="0.85">
      <c r="A557" s="21">
        <v>1</v>
      </c>
      <c r="B557" s="70">
        <f>SUBTOTAL(103,$A$535:A557)</f>
        <v>23</v>
      </c>
      <c r="C557" s="25" t="s">
        <v>572</v>
      </c>
      <c r="D557" s="32">
        <f t="shared" si="254"/>
        <v>2179444.67</v>
      </c>
      <c r="E557" s="32">
        <v>0</v>
      </c>
      <c r="F557" s="32">
        <v>0</v>
      </c>
      <c r="G557" s="32">
        <v>0</v>
      </c>
      <c r="H557" s="32">
        <v>0</v>
      </c>
      <c r="I557" s="32">
        <v>0</v>
      </c>
      <c r="J557" s="32">
        <v>0</v>
      </c>
      <c r="K557" s="34">
        <v>1</v>
      </c>
      <c r="L557" s="32">
        <v>2079444.67</v>
      </c>
      <c r="M557" s="32">
        <v>0</v>
      </c>
      <c r="N557" s="32">
        <v>0</v>
      </c>
      <c r="O557" s="32">
        <v>0</v>
      </c>
      <c r="P557" s="32">
        <v>0</v>
      </c>
      <c r="Q557" s="32">
        <v>0</v>
      </c>
      <c r="R557" s="32">
        <v>0</v>
      </c>
      <c r="S557" s="32">
        <v>0</v>
      </c>
      <c r="T557" s="32">
        <v>0</v>
      </c>
      <c r="U557" s="32">
        <v>0</v>
      </c>
      <c r="V557" s="32">
        <v>0</v>
      </c>
      <c r="W557" s="32">
        <v>0</v>
      </c>
      <c r="X557" s="32">
        <v>0</v>
      </c>
      <c r="Y557" s="32">
        <v>0</v>
      </c>
      <c r="Z557" s="32">
        <v>0</v>
      </c>
      <c r="AA557" s="32">
        <v>0</v>
      </c>
      <c r="AB557" s="32">
        <v>0</v>
      </c>
      <c r="AC557" s="32">
        <v>0</v>
      </c>
      <c r="AD557" s="32">
        <v>100000</v>
      </c>
      <c r="AE557" s="32">
        <v>0</v>
      </c>
      <c r="AF557" s="35">
        <v>2021</v>
      </c>
      <c r="AG557" s="35">
        <v>2021</v>
      </c>
      <c r="AH557" s="36" t="s">
        <v>275</v>
      </c>
      <c r="AT557" s="21" t="e">
        <f t="shared" ref="AT557:AT567" si="258">VLOOKUP(C557,AW:AX,2,FALSE)</f>
        <v>#N/A</v>
      </c>
    </row>
    <row r="558" spans="1:46" ht="61.5" x14ac:dyDescent="0.85">
      <c r="A558" s="21">
        <v>1</v>
      </c>
      <c r="B558" s="70">
        <f>SUBTOTAL(103,$A$535:A558)</f>
        <v>24</v>
      </c>
      <c r="C558" s="25" t="s">
        <v>849</v>
      </c>
      <c r="D558" s="32">
        <f t="shared" si="254"/>
        <v>3110127.71</v>
      </c>
      <c r="E558" s="32">
        <v>0</v>
      </c>
      <c r="F558" s="32">
        <v>0</v>
      </c>
      <c r="G558" s="32">
        <v>0</v>
      </c>
      <c r="H558" s="32">
        <v>0</v>
      </c>
      <c r="I558" s="32">
        <v>0</v>
      </c>
      <c r="J558" s="32">
        <v>0</v>
      </c>
      <c r="K558" s="34">
        <v>0</v>
      </c>
      <c r="L558" s="32">
        <v>0</v>
      </c>
      <c r="M558" s="32">
        <v>700</v>
      </c>
      <c r="N558" s="32">
        <v>2867120.9</v>
      </c>
      <c r="O558" s="32">
        <v>0</v>
      </c>
      <c r="P558" s="32">
        <v>0</v>
      </c>
      <c r="Q558" s="32">
        <v>0</v>
      </c>
      <c r="R558" s="32">
        <v>0</v>
      </c>
      <c r="S558" s="32">
        <v>0</v>
      </c>
      <c r="T558" s="32">
        <v>0</v>
      </c>
      <c r="U558" s="32">
        <v>0</v>
      </c>
      <c r="V558" s="32">
        <v>0</v>
      </c>
      <c r="W558" s="32">
        <v>0</v>
      </c>
      <c r="X558" s="32">
        <v>0</v>
      </c>
      <c r="Y558" s="32">
        <v>0</v>
      </c>
      <c r="Z558" s="32">
        <v>0</v>
      </c>
      <c r="AA558" s="32">
        <v>0</v>
      </c>
      <c r="AB558" s="32">
        <v>0</v>
      </c>
      <c r="AC558" s="32">
        <f t="shared" ref="AC558:AC559" si="259">ROUND(N558*1.5%,2)</f>
        <v>43006.81</v>
      </c>
      <c r="AD558" s="32">
        <v>200000</v>
      </c>
      <c r="AE558" s="32">
        <v>0</v>
      </c>
      <c r="AF558" s="35">
        <v>2021</v>
      </c>
      <c r="AG558" s="35">
        <v>2021</v>
      </c>
      <c r="AH558" s="36">
        <v>2021</v>
      </c>
      <c r="AT558" s="21" t="e">
        <f t="shared" si="258"/>
        <v>#N/A</v>
      </c>
    </row>
    <row r="559" spans="1:46" ht="61.5" x14ac:dyDescent="0.85">
      <c r="A559" s="21">
        <v>1</v>
      </c>
      <c r="B559" s="70">
        <f>SUBTOTAL(103,$A$535:A559)</f>
        <v>25</v>
      </c>
      <c r="C559" s="25" t="s">
        <v>573</v>
      </c>
      <c r="D559" s="32">
        <f t="shared" si="254"/>
        <v>1126135.8999999999</v>
      </c>
      <c r="E559" s="32">
        <v>0</v>
      </c>
      <c r="F559" s="32">
        <v>0</v>
      </c>
      <c r="G559" s="32">
        <v>0</v>
      </c>
      <c r="H559" s="32">
        <v>0</v>
      </c>
      <c r="I559" s="32">
        <v>0</v>
      </c>
      <c r="J559" s="32">
        <v>0</v>
      </c>
      <c r="K559" s="34">
        <v>0</v>
      </c>
      <c r="L559" s="32">
        <v>0</v>
      </c>
      <c r="M559" s="32">
        <v>210</v>
      </c>
      <c r="N559" s="32">
        <v>996103.33</v>
      </c>
      <c r="O559" s="32">
        <v>0</v>
      </c>
      <c r="P559" s="32">
        <v>0</v>
      </c>
      <c r="Q559" s="32">
        <v>0</v>
      </c>
      <c r="R559" s="32">
        <v>0</v>
      </c>
      <c r="S559" s="32">
        <v>0</v>
      </c>
      <c r="T559" s="32">
        <v>0</v>
      </c>
      <c r="U559" s="32">
        <v>0</v>
      </c>
      <c r="V559" s="32">
        <v>0</v>
      </c>
      <c r="W559" s="32">
        <v>0</v>
      </c>
      <c r="X559" s="32">
        <v>0</v>
      </c>
      <c r="Y559" s="32">
        <v>0</v>
      </c>
      <c r="Z559" s="32">
        <v>0</v>
      </c>
      <c r="AA559" s="32">
        <v>0</v>
      </c>
      <c r="AB559" s="32">
        <v>0</v>
      </c>
      <c r="AC559" s="32">
        <f t="shared" si="259"/>
        <v>14941.55</v>
      </c>
      <c r="AD559" s="32">
        <v>115091.02</v>
      </c>
      <c r="AE559" s="32">
        <v>0</v>
      </c>
      <c r="AF559" s="35">
        <v>2021</v>
      </c>
      <c r="AG559" s="35">
        <v>2021</v>
      </c>
      <c r="AH559" s="36">
        <v>2021</v>
      </c>
      <c r="AT559" s="21" t="e">
        <f t="shared" si="258"/>
        <v>#N/A</v>
      </c>
    </row>
    <row r="560" spans="1:46" ht="61.5" x14ac:dyDescent="0.85">
      <c r="A560" s="21">
        <v>1</v>
      </c>
      <c r="B560" s="70">
        <f>SUBTOTAL(103,$A$535:A560)</f>
        <v>26</v>
      </c>
      <c r="C560" s="25" t="s">
        <v>575</v>
      </c>
      <c r="D560" s="32">
        <f t="shared" si="254"/>
        <v>4057359.23</v>
      </c>
      <c r="E560" s="32">
        <v>0</v>
      </c>
      <c r="F560" s="32">
        <v>0</v>
      </c>
      <c r="G560" s="32">
        <v>0</v>
      </c>
      <c r="H560" s="32">
        <v>0</v>
      </c>
      <c r="I560" s="32">
        <v>0</v>
      </c>
      <c r="J560" s="32">
        <v>0</v>
      </c>
      <c r="K560" s="34">
        <v>0</v>
      </c>
      <c r="L560" s="32">
        <v>0</v>
      </c>
      <c r="M560" s="32">
        <v>0</v>
      </c>
      <c r="N560" s="32">
        <v>0</v>
      </c>
      <c r="O560" s="32">
        <v>0</v>
      </c>
      <c r="P560" s="32">
        <v>0</v>
      </c>
      <c r="Q560" s="32">
        <v>940.98</v>
      </c>
      <c r="R560" s="32">
        <v>3849615</v>
      </c>
      <c r="S560" s="32">
        <v>0</v>
      </c>
      <c r="T560" s="32">
        <v>0</v>
      </c>
      <c r="U560" s="32">
        <v>0</v>
      </c>
      <c r="V560" s="32">
        <v>0</v>
      </c>
      <c r="W560" s="32">
        <v>0</v>
      </c>
      <c r="X560" s="32">
        <v>0</v>
      </c>
      <c r="Y560" s="32">
        <v>0</v>
      </c>
      <c r="Z560" s="32">
        <v>0</v>
      </c>
      <c r="AA560" s="32">
        <v>0</v>
      </c>
      <c r="AB560" s="32">
        <v>0</v>
      </c>
      <c r="AC560" s="32">
        <f t="shared" ref="AC560" si="260">ROUND(R560*1.5%,2)</f>
        <v>57744.23</v>
      </c>
      <c r="AD560" s="32">
        <v>150000</v>
      </c>
      <c r="AE560" s="32">
        <v>0</v>
      </c>
      <c r="AF560" s="35">
        <v>2021</v>
      </c>
      <c r="AG560" s="35">
        <v>2021</v>
      </c>
      <c r="AH560" s="36">
        <v>2021</v>
      </c>
      <c r="AT560" s="21" t="e">
        <f t="shared" si="258"/>
        <v>#N/A</v>
      </c>
    </row>
    <row r="561" spans="1:46" ht="61.5" x14ac:dyDescent="0.85">
      <c r="A561" s="21">
        <v>1</v>
      </c>
      <c r="B561" s="70">
        <f>SUBTOTAL(103,$A$535:A561)</f>
        <v>27</v>
      </c>
      <c r="C561" s="25" t="s">
        <v>576</v>
      </c>
      <c r="D561" s="32">
        <f t="shared" si="254"/>
        <v>2760412.39</v>
      </c>
      <c r="E561" s="32">
        <v>0</v>
      </c>
      <c r="F561" s="32">
        <v>0</v>
      </c>
      <c r="G561" s="32">
        <v>0</v>
      </c>
      <c r="H561" s="32">
        <v>0</v>
      </c>
      <c r="I561" s="32">
        <v>0</v>
      </c>
      <c r="J561" s="32">
        <v>0</v>
      </c>
      <c r="K561" s="34">
        <v>0</v>
      </c>
      <c r="L561" s="32">
        <v>0</v>
      </c>
      <c r="M561" s="32">
        <v>560</v>
      </c>
      <c r="N561" s="32">
        <v>2621095.9500000002</v>
      </c>
      <c r="O561" s="32">
        <v>0</v>
      </c>
      <c r="P561" s="32">
        <v>0</v>
      </c>
      <c r="Q561" s="32">
        <v>0</v>
      </c>
      <c r="R561" s="32">
        <v>0</v>
      </c>
      <c r="S561" s="32">
        <v>0</v>
      </c>
      <c r="T561" s="32">
        <v>0</v>
      </c>
      <c r="U561" s="32">
        <v>0</v>
      </c>
      <c r="V561" s="32">
        <v>0</v>
      </c>
      <c r="W561" s="32">
        <v>0</v>
      </c>
      <c r="X561" s="32">
        <v>0</v>
      </c>
      <c r="Y561" s="32">
        <v>0</v>
      </c>
      <c r="Z561" s="32">
        <v>0</v>
      </c>
      <c r="AA561" s="32">
        <v>0</v>
      </c>
      <c r="AB561" s="32">
        <v>0</v>
      </c>
      <c r="AC561" s="32">
        <f t="shared" ref="AC561:AC564" si="261">ROUND(N561*1.5%,2)</f>
        <v>39316.44</v>
      </c>
      <c r="AD561" s="32">
        <v>100000</v>
      </c>
      <c r="AE561" s="32">
        <v>0</v>
      </c>
      <c r="AF561" s="35">
        <v>2021</v>
      </c>
      <c r="AG561" s="35">
        <v>2021</v>
      </c>
      <c r="AH561" s="36">
        <v>2021</v>
      </c>
      <c r="AT561" s="21" t="e">
        <f t="shared" si="258"/>
        <v>#N/A</v>
      </c>
    </row>
    <row r="562" spans="1:46" ht="61.5" x14ac:dyDescent="0.85">
      <c r="A562" s="21">
        <v>1</v>
      </c>
      <c r="B562" s="70">
        <f>SUBTOTAL(103,$A$535:A562)</f>
        <v>28</v>
      </c>
      <c r="C562" s="25" t="s">
        <v>851</v>
      </c>
      <c r="D562" s="32">
        <f t="shared" si="254"/>
        <v>5592560.8499999996</v>
      </c>
      <c r="E562" s="32">
        <v>0</v>
      </c>
      <c r="F562" s="32">
        <v>0</v>
      </c>
      <c r="G562" s="32">
        <v>0</v>
      </c>
      <c r="H562" s="32">
        <v>0</v>
      </c>
      <c r="I562" s="32">
        <v>0</v>
      </c>
      <c r="J562" s="32">
        <v>0</v>
      </c>
      <c r="K562" s="34">
        <v>0</v>
      </c>
      <c r="L562" s="32">
        <v>0</v>
      </c>
      <c r="M562" s="32">
        <v>1391</v>
      </c>
      <c r="N562" s="32">
        <v>5411390</v>
      </c>
      <c r="O562" s="32">
        <v>0</v>
      </c>
      <c r="P562" s="32">
        <v>0</v>
      </c>
      <c r="Q562" s="32">
        <v>0</v>
      </c>
      <c r="R562" s="32">
        <v>0</v>
      </c>
      <c r="S562" s="32">
        <v>0</v>
      </c>
      <c r="T562" s="32">
        <v>0</v>
      </c>
      <c r="U562" s="32">
        <v>0</v>
      </c>
      <c r="V562" s="32">
        <v>0</v>
      </c>
      <c r="W562" s="32">
        <v>0</v>
      </c>
      <c r="X562" s="32">
        <v>0</v>
      </c>
      <c r="Y562" s="32">
        <v>0</v>
      </c>
      <c r="Z562" s="32">
        <v>0</v>
      </c>
      <c r="AA562" s="32">
        <v>0</v>
      </c>
      <c r="AB562" s="32">
        <v>0</v>
      </c>
      <c r="AC562" s="32">
        <f t="shared" si="261"/>
        <v>81170.850000000006</v>
      </c>
      <c r="AD562" s="32">
        <v>100000</v>
      </c>
      <c r="AE562" s="32">
        <v>0</v>
      </c>
      <c r="AF562" s="35">
        <v>2021</v>
      </c>
      <c r="AG562" s="35">
        <v>2021</v>
      </c>
      <c r="AH562" s="36">
        <v>2021</v>
      </c>
      <c r="AT562" s="21" t="e">
        <f t="shared" si="258"/>
        <v>#N/A</v>
      </c>
    </row>
    <row r="563" spans="1:46" ht="61.5" x14ac:dyDescent="0.85">
      <c r="A563" s="21">
        <v>1</v>
      </c>
      <c r="B563" s="70">
        <f>SUBTOTAL(103,$A$535:A563)</f>
        <v>29</v>
      </c>
      <c r="C563" s="25" t="s">
        <v>577</v>
      </c>
      <c r="D563" s="32">
        <f t="shared" si="254"/>
        <v>4005106.45</v>
      </c>
      <c r="E563" s="32">
        <v>0</v>
      </c>
      <c r="F563" s="32">
        <v>0</v>
      </c>
      <c r="G563" s="32">
        <v>0</v>
      </c>
      <c r="H563" s="32">
        <v>0</v>
      </c>
      <c r="I563" s="32">
        <v>0</v>
      </c>
      <c r="J563" s="32">
        <v>0</v>
      </c>
      <c r="K563" s="34">
        <v>0</v>
      </c>
      <c r="L563" s="32">
        <v>0</v>
      </c>
      <c r="M563" s="32">
        <v>822</v>
      </c>
      <c r="N563" s="32">
        <v>3847395.52</v>
      </c>
      <c r="O563" s="32">
        <v>0</v>
      </c>
      <c r="P563" s="32">
        <v>0</v>
      </c>
      <c r="Q563" s="32">
        <v>0</v>
      </c>
      <c r="R563" s="32">
        <v>0</v>
      </c>
      <c r="S563" s="32">
        <v>0</v>
      </c>
      <c r="T563" s="32">
        <v>0</v>
      </c>
      <c r="U563" s="32">
        <v>0</v>
      </c>
      <c r="V563" s="32">
        <v>0</v>
      </c>
      <c r="W563" s="32">
        <v>0</v>
      </c>
      <c r="X563" s="32">
        <v>0</v>
      </c>
      <c r="Y563" s="32">
        <v>0</v>
      </c>
      <c r="Z563" s="32">
        <v>0</v>
      </c>
      <c r="AA563" s="32">
        <v>0</v>
      </c>
      <c r="AB563" s="32">
        <v>0</v>
      </c>
      <c r="AC563" s="32">
        <f t="shared" si="261"/>
        <v>57710.93</v>
      </c>
      <c r="AD563" s="32">
        <v>100000</v>
      </c>
      <c r="AE563" s="32">
        <v>0</v>
      </c>
      <c r="AF563" s="35">
        <v>2021</v>
      </c>
      <c r="AG563" s="35">
        <v>2021</v>
      </c>
      <c r="AH563" s="36">
        <v>2021</v>
      </c>
      <c r="AT563" s="21" t="e">
        <f t="shared" si="258"/>
        <v>#N/A</v>
      </c>
    </row>
    <row r="564" spans="1:46" ht="61.5" x14ac:dyDescent="0.85">
      <c r="A564" s="21">
        <v>1</v>
      </c>
      <c r="B564" s="70">
        <f>SUBTOTAL(103,$A$535:A564)</f>
        <v>30</v>
      </c>
      <c r="C564" s="25" t="s">
        <v>578</v>
      </c>
      <c r="D564" s="32">
        <f t="shared" si="254"/>
        <v>4412836.3</v>
      </c>
      <c r="E564" s="32">
        <v>0</v>
      </c>
      <c r="F564" s="32">
        <v>0</v>
      </c>
      <c r="G564" s="32">
        <v>0</v>
      </c>
      <c r="H564" s="32">
        <v>0</v>
      </c>
      <c r="I564" s="32">
        <v>0</v>
      </c>
      <c r="J564" s="32">
        <v>0</v>
      </c>
      <c r="K564" s="34">
        <v>0</v>
      </c>
      <c r="L564" s="32">
        <v>0</v>
      </c>
      <c r="M564" s="32">
        <v>897.3</v>
      </c>
      <c r="N564" s="32">
        <v>4199838.72</v>
      </c>
      <c r="O564" s="32">
        <v>0</v>
      </c>
      <c r="P564" s="32">
        <v>0</v>
      </c>
      <c r="Q564" s="32">
        <v>0</v>
      </c>
      <c r="R564" s="32">
        <v>0</v>
      </c>
      <c r="S564" s="32">
        <v>0</v>
      </c>
      <c r="T564" s="32">
        <v>0</v>
      </c>
      <c r="U564" s="32">
        <v>0</v>
      </c>
      <c r="V564" s="32">
        <v>0</v>
      </c>
      <c r="W564" s="32">
        <v>0</v>
      </c>
      <c r="X564" s="32">
        <v>0</v>
      </c>
      <c r="Y564" s="32">
        <v>0</v>
      </c>
      <c r="Z564" s="32">
        <v>0</v>
      </c>
      <c r="AA564" s="32">
        <v>0</v>
      </c>
      <c r="AB564" s="32">
        <v>0</v>
      </c>
      <c r="AC564" s="32">
        <f t="shared" si="261"/>
        <v>62997.58</v>
      </c>
      <c r="AD564" s="32">
        <v>150000</v>
      </c>
      <c r="AE564" s="32">
        <v>0</v>
      </c>
      <c r="AF564" s="35">
        <v>2021</v>
      </c>
      <c r="AG564" s="35">
        <v>2021</v>
      </c>
      <c r="AH564" s="36">
        <v>2021</v>
      </c>
      <c r="AT564" s="21" t="e">
        <f t="shared" si="258"/>
        <v>#N/A</v>
      </c>
    </row>
    <row r="565" spans="1:46" ht="61.5" x14ac:dyDescent="0.85">
      <c r="A565" s="21">
        <v>1</v>
      </c>
      <c r="B565" s="70">
        <f>SUBTOTAL(103,$A$535:A565)</f>
        <v>31</v>
      </c>
      <c r="C565" s="25" t="s">
        <v>579</v>
      </c>
      <c r="D565" s="32">
        <f t="shared" si="254"/>
        <v>4448638.5999999996</v>
      </c>
      <c r="E565" s="32">
        <v>0</v>
      </c>
      <c r="F565" s="32">
        <v>0</v>
      </c>
      <c r="G565" s="32">
        <v>0</v>
      </c>
      <c r="H565" s="32">
        <v>0</v>
      </c>
      <c r="I565" s="32">
        <v>0</v>
      </c>
      <c r="J565" s="32">
        <v>0</v>
      </c>
      <c r="K565" s="34">
        <v>0</v>
      </c>
      <c r="L565" s="32">
        <v>0</v>
      </c>
      <c r="M565" s="32">
        <v>0</v>
      </c>
      <c r="N565" s="32">
        <v>0</v>
      </c>
      <c r="O565" s="32">
        <v>0</v>
      </c>
      <c r="P565" s="32">
        <v>0</v>
      </c>
      <c r="Q565" s="32">
        <v>1047.25</v>
      </c>
      <c r="R565" s="32">
        <v>4284373</v>
      </c>
      <c r="S565" s="32">
        <v>0</v>
      </c>
      <c r="T565" s="32">
        <v>0</v>
      </c>
      <c r="U565" s="32">
        <v>0</v>
      </c>
      <c r="V565" s="32">
        <v>0</v>
      </c>
      <c r="W565" s="32">
        <v>0</v>
      </c>
      <c r="X565" s="32">
        <v>0</v>
      </c>
      <c r="Y565" s="32">
        <v>0</v>
      </c>
      <c r="Z565" s="32">
        <v>0</v>
      </c>
      <c r="AA565" s="32">
        <v>0</v>
      </c>
      <c r="AB565" s="32">
        <v>0</v>
      </c>
      <c r="AC565" s="32">
        <f t="shared" ref="AC565" si="262">ROUND(R565*1.5%,2)</f>
        <v>64265.599999999999</v>
      </c>
      <c r="AD565" s="32">
        <v>100000</v>
      </c>
      <c r="AE565" s="32">
        <v>0</v>
      </c>
      <c r="AF565" s="35">
        <v>2021</v>
      </c>
      <c r="AG565" s="35">
        <v>2021</v>
      </c>
      <c r="AH565" s="36">
        <v>2021</v>
      </c>
      <c r="AT565" s="21" t="e">
        <f t="shared" si="258"/>
        <v>#N/A</v>
      </c>
    </row>
    <row r="566" spans="1:46" ht="61.5" x14ac:dyDescent="0.85">
      <c r="A566" s="21">
        <v>1</v>
      </c>
      <c r="B566" s="70">
        <f>SUBTOTAL(103,$A$535:A566)</f>
        <v>32</v>
      </c>
      <c r="C566" s="25" t="s">
        <v>580</v>
      </c>
      <c r="D566" s="32">
        <f t="shared" si="254"/>
        <v>2397304.5699999998</v>
      </c>
      <c r="E566" s="32">
        <v>0</v>
      </c>
      <c r="F566" s="32">
        <v>0</v>
      </c>
      <c r="G566" s="32">
        <v>0</v>
      </c>
      <c r="H566" s="32">
        <v>0</v>
      </c>
      <c r="I566" s="32">
        <v>0</v>
      </c>
      <c r="J566" s="32">
        <v>0</v>
      </c>
      <c r="K566" s="34">
        <v>0</v>
      </c>
      <c r="L566" s="32">
        <v>0</v>
      </c>
      <c r="M566" s="32">
        <v>485</v>
      </c>
      <c r="N566" s="32">
        <v>2263354.2599999998</v>
      </c>
      <c r="O566" s="32">
        <v>0</v>
      </c>
      <c r="P566" s="32">
        <v>0</v>
      </c>
      <c r="Q566" s="32">
        <v>0</v>
      </c>
      <c r="R566" s="32">
        <v>0</v>
      </c>
      <c r="S566" s="32">
        <v>0</v>
      </c>
      <c r="T566" s="32">
        <v>0</v>
      </c>
      <c r="U566" s="32">
        <v>0</v>
      </c>
      <c r="V566" s="32">
        <v>0</v>
      </c>
      <c r="W566" s="32">
        <v>0</v>
      </c>
      <c r="X566" s="32">
        <v>0</v>
      </c>
      <c r="Y566" s="32">
        <v>0</v>
      </c>
      <c r="Z566" s="32">
        <v>0</v>
      </c>
      <c r="AA566" s="32">
        <v>0</v>
      </c>
      <c r="AB566" s="32">
        <v>0</v>
      </c>
      <c r="AC566" s="32">
        <f t="shared" ref="AC566:AC567" si="263">ROUND(N566*1.5%,2)</f>
        <v>33950.31</v>
      </c>
      <c r="AD566" s="32">
        <v>100000</v>
      </c>
      <c r="AE566" s="32">
        <v>0</v>
      </c>
      <c r="AF566" s="35">
        <v>2021</v>
      </c>
      <c r="AG566" s="35">
        <v>2021</v>
      </c>
      <c r="AH566" s="36">
        <v>2021</v>
      </c>
      <c r="AT566" s="21" t="e">
        <f t="shared" si="258"/>
        <v>#N/A</v>
      </c>
    </row>
    <row r="567" spans="1:46" ht="61.5" x14ac:dyDescent="0.85">
      <c r="A567" s="21">
        <v>1</v>
      </c>
      <c r="B567" s="70">
        <f>SUBTOTAL(103,$A$535:A567)</f>
        <v>33</v>
      </c>
      <c r="C567" s="25" t="s">
        <v>581</v>
      </c>
      <c r="D567" s="32">
        <f t="shared" si="254"/>
        <v>2564514.5199999996</v>
      </c>
      <c r="E567" s="32">
        <v>0</v>
      </c>
      <c r="F567" s="32">
        <v>0</v>
      </c>
      <c r="G567" s="32">
        <v>0</v>
      </c>
      <c r="H567" s="32">
        <v>0</v>
      </c>
      <c r="I567" s="32">
        <v>0</v>
      </c>
      <c r="J567" s="32">
        <v>0</v>
      </c>
      <c r="K567" s="34">
        <v>0</v>
      </c>
      <c r="L567" s="32">
        <v>0</v>
      </c>
      <c r="M567" s="32">
        <v>606</v>
      </c>
      <c r="N567" s="32">
        <v>2425477.84</v>
      </c>
      <c r="O567" s="32">
        <v>0</v>
      </c>
      <c r="P567" s="32">
        <v>0</v>
      </c>
      <c r="Q567" s="32">
        <v>0</v>
      </c>
      <c r="R567" s="32">
        <v>0</v>
      </c>
      <c r="S567" s="32">
        <v>0</v>
      </c>
      <c r="T567" s="32">
        <v>0</v>
      </c>
      <c r="U567" s="32">
        <v>0</v>
      </c>
      <c r="V567" s="32">
        <v>0</v>
      </c>
      <c r="W567" s="32">
        <v>0</v>
      </c>
      <c r="X567" s="32">
        <v>0</v>
      </c>
      <c r="Y567" s="32">
        <v>0</v>
      </c>
      <c r="Z567" s="32">
        <v>0</v>
      </c>
      <c r="AA567" s="32">
        <v>0</v>
      </c>
      <c r="AB567" s="32">
        <v>0</v>
      </c>
      <c r="AC567" s="32">
        <f t="shared" si="263"/>
        <v>36382.17</v>
      </c>
      <c r="AD567" s="32">
        <v>102654.51</v>
      </c>
      <c r="AE567" s="32">
        <v>0</v>
      </c>
      <c r="AF567" s="35">
        <v>2021</v>
      </c>
      <c r="AG567" s="35">
        <v>2021</v>
      </c>
      <c r="AH567" s="36">
        <v>2021</v>
      </c>
      <c r="AT567" s="21" t="e">
        <f t="shared" si="258"/>
        <v>#N/A</v>
      </c>
    </row>
    <row r="568" spans="1:46" ht="61.5" x14ac:dyDescent="0.85">
      <c r="A568" s="21">
        <v>1</v>
      </c>
      <c r="B568" s="70">
        <f>SUBTOTAL(103,$A$535:A568)</f>
        <v>34</v>
      </c>
      <c r="C568" s="25" t="s">
        <v>1168</v>
      </c>
      <c r="D568" s="32">
        <f t="shared" si="254"/>
        <v>7813143.0999999996</v>
      </c>
      <c r="E568" s="32">
        <v>0</v>
      </c>
      <c r="F568" s="32">
        <v>0</v>
      </c>
      <c r="G568" s="32">
        <v>0</v>
      </c>
      <c r="H568" s="32">
        <v>0</v>
      </c>
      <c r="I568" s="32">
        <v>0</v>
      </c>
      <c r="J568" s="32">
        <v>0</v>
      </c>
      <c r="K568" s="34">
        <v>4</v>
      </c>
      <c r="L568" s="32">
        <v>7693143.0999999996</v>
      </c>
      <c r="M568" s="32">
        <v>0</v>
      </c>
      <c r="N568" s="32">
        <v>0</v>
      </c>
      <c r="O568" s="32">
        <v>0</v>
      </c>
      <c r="P568" s="32">
        <v>0</v>
      </c>
      <c r="Q568" s="32">
        <v>0</v>
      </c>
      <c r="R568" s="32">
        <v>0</v>
      </c>
      <c r="S568" s="32">
        <v>0</v>
      </c>
      <c r="T568" s="32">
        <v>0</v>
      </c>
      <c r="U568" s="32">
        <v>0</v>
      </c>
      <c r="V568" s="32">
        <v>0</v>
      </c>
      <c r="W568" s="32">
        <v>0</v>
      </c>
      <c r="X568" s="32">
        <v>0</v>
      </c>
      <c r="Y568" s="32">
        <v>0</v>
      </c>
      <c r="Z568" s="32">
        <v>0</v>
      </c>
      <c r="AA568" s="32">
        <v>0</v>
      </c>
      <c r="AB568" s="32">
        <v>0</v>
      </c>
      <c r="AC568" s="32">
        <v>0</v>
      </c>
      <c r="AD568" s="32">
        <v>120000</v>
      </c>
      <c r="AE568" s="32">
        <v>0</v>
      </c>
      <c r="AF568" s="35">
        <v>2021</v>
      </c>
      <c r="AG568" s="35">
        <v>2021</v>
      </c>
      <c r="AH568" s="36" t="s">
        <v>275</v>
      </c>
    </row>
    <row r="569" spans="1:46" ht="61.5" x14ac:dyDescent="0.85">
      <c r="A569" s="21">
        <v>1</v>
      </c>
      <c r="B569" s="70">
        <f>SUBTOTAL(103,$A$535:A569)</f>
        <v>35</v>
      </c>
      <c r="C569" s="25" t="s">
        <v>582</v>
      </c>
      <c r="D569" s="32">
        <f t="shared" si="254"/>
        <v>2129444.67</v>
      </c>
      <c r="E569" s="32">
        <v>0</v>
      </c>
      <c r="F569" s="32">
        <v>0</v>
      </c>
      <c r="G569" s="32">
        <v>0</v>
      </c>
      <c r="H569" s="32">
        <v>0</v>
      </c>
      <c r="I569" s="32">
        <v>0</v>
      </c>
      <c r="J569" s="32">
        <v>0</v>
      </c>
      <c r="K569" s="34">
        <v>1</v>
      </c>
      <c r="L569" s="32">
        <v>2079444.67</v>
      </c>
      <c r="M569" s="32">
        <v>0</v>
      </c>
      <c r="N569" s="32">
        <v>0</v>
      </c>
      <c r="O569" s="32">
        <v>0</v>
      </c>
      <c r="P569" s="32">
        <v>0</v>
      </c>
      <c r="Q569" s="32">
        <v>0</v>
      </c>
      <c r="R569" s="32">
        <v>0</v>
      </c>
      <c r="S569" s="32">
        <v>0</v>
      </c>
      <c r="T569" s="32">
        <v>0</v>
      </c>
      <c r="U569" s="32">
        <v>0</v>
      </c>
      <c r="V569" s="32">
        <v>0</v>
      </c>
      <c r="W569" s="32">
        <v>0</v>
      </c>
      <c r="X569" s="32">
        <v>0</v>
      </c>
      <c r="Y569" s="32">
        <v>0</v>
      </c>
      <c r="Z569" s="32">
        <v>0</v>
      </c>
      <c r="AA569" s="32">
        <v>0</v>
      </c>
      <c r="AB569" s="32">
        <v>0</v>
      </c>
      <c r="AC569" s="32">
        <f t="shared" ref="AC569:AC571" si="264">ROUND(N569*1.5%,2)</f>
        <v>0</v>
      </c>
      <c r="AD569" s="32">
        <v>50000</v>
      </c>
      <c r="AE569" s="32">
        <v>0</v>
      </c>
      <c r="AF569" s="35">
        <v>2021</v>
      </c>
      <c r="AG569" s="35">
        <v>2021</v>
      </c>
      <c r="AH569" s="36" t="s">
        <v>275</v>
      </c>
      <c r="AT569" s="21" t="e">
        <f t="shared" ref="AT569:AT584" si="265">VLOOKUP(C569,AW:AX,2,FALSE)</f>
        <v>#N/A</v>
      </c>
    </row>
    <row r="570" spans="1:46" ht="61.5" x14ac:dyDescent="0.85">
      <c r="A570" s="21">
        <v>1</v>
      </c>
      <c r="B570" s="70">
        <f>SUBTOTAL(103,$A$535:A570)</f>
        <v>36</v>
      </c>
      <c r="C570" s="25" t="s">
        <v>583</v>
      </c>
      <c r="D570" s="32">
        <f t="shared" si="254"/>
        <v>5610855.6899999995</v>
      </c>
      <c r="E570" s="32">
        <v>0</v>
      </c>
      <c r="F570" s="32">
        <v>0</v>
      </c>
      <c r="G570" s="32">
        <v>0</v>
      </c>
      <c r="H570" s="32">
        <v>0</v>
      </c>
      <c r="I570" s="32">
        <v>0</v>
      </c>
      <c r="J570" s="32">
        <v>0</v>
      </c>
      <c r="K570" s="34">
        <v>0</v>
      </c>
      <c r="L570" s="32">
        <v>0</v>
      </c>
      <c r="M570" s="32">
        <v>1160</v>
      </c>
      <c r="N570" s="32">
        <v>5429414.4699999997</v>
      </c>
      <c r="O570" s="32">
        <v>0</v>
      </c>
      <c r="P570" s="32">
        <v>0</v>
      </c>
      <c r="Q570" s="32">
        <v>0</v>
      </c>
      <c r="R570" s="32">
        <v>0</v>
      </c>
      <c r="S570" s="32">
        <v>0</v>
      </c>
      <c r="T570" s="32">
        <v>0</v>
      </c>
      <c r="U570" s="32">
        <v>0</v>
      </c>
      <c r="V570" s="32">
        <v>0</v>
      </c>
      <c r="W570" s="32">
        <v>0</v>
      </c>
      <c r="X570" s="32">
        <v>0</v>
      </c>
      <c r="Y570" s="32">
        <v>0</v>
      </c>
      <c r="Z570" s="32">
        <v>0</v>
      </c>
      <c r="AA570" s="32">
        <v>0</v>
      </c>
      <c r="AB570" s="32">
        <v>0</v>
      </c>
      <c r="AC570" s="32">
        <f t="shared" si="264"/>
        <v>81441.22</v>
      </c>
      <c r="AD570" s="32">
        <v>100000</v>
      </c>
      <c r="AE570" s="32">
        <v>0</v>
      </c>
      <c r="AF570" s="35">
        <v>2021</v>
      </c>
      <c r="AG570" s="35">
        <v>2021</v>
      </c>
      <c r="AH570" s="36">
        <v>2021</v>
      </c>
      <c r="AT570" s="21" t="e">
        <f t="shared" si="265"/>
        <v>#N/A</v>
      </c>
    </row>
    <row r="571" spans="1:46" ht="61.5" x14ac:dyDescent="0.85">
      <c r="A571" s="21">
        <v>1</v>
      </c>
      <c r="B571" s="70">
        <f>SUBTOTAL(103,$A$535:A571)</f>
        <v>37</v>
      </c>
      <c r="C571" s="25" t="s">
        <v>584</v>
      </c>
      <c r="D571" s="32">
        <f t="shared" si="254"/>
        <v>2171781.17</v>
      </c>
      <c r="E571" s="32">
        <v>0</v>
      </c>
      <c r="F571" s="32">
        <v>0</v>
      </c>
      <c r="G571" s="32">
        <v>0</v>
      </c>
      <c r="H571" s="32">
        <v>0</v>
      </c>
      <c r="I571" s="32">
        <v>0</v>
      </c>
      <c r="J571" s="32">
        <v>0</v>
      </c>
      <c r="K571" s="34">
        <v>0</v>
      </c>
      <c r="L571" s="32">
        <v>0</v>
      </c>
      <c r="M571" s="32">
        <v>432.6</v>
      </c>
      <c r="N571" s="32">
        <v>2070720.36</v>
      </c>
      <c r="O571" s="32">
        <v>0</v>
      </c>
      <c r="P571" s="32">
        <v>0</v>
      </c>
      <c r="Q571" s="32">
        <v>0</v>
      </c>
      <c r="R571" s="32">
        <v>0</v>
      </c>
      <c r="S571" s="32">
        <v>0</v>
      </c>
      <c r="T571" s="32">
        <v>0</v>
      </c>
      <c r="U571" s="32">
        <v>0</v>
      </c>
      <c r="V571" s="32">
        <v>0</v>
      </c>
      <c r="W571" s="32">
        <v>0</v>
      </c>
      <c r="X571" s="32">
        <v>0</v>
      </c>
      <c r="Y571" s="32">
        <v>0</v>
      </c>
      <c r="Z571" s="32">
        <v>0</v>
      </c>
      <c r="AA571" s="32">
        <v>0</v>
      </c>
      <c r="AB571" s="32">
        <v>0</v>
      </c>
      <c r="AC571" s="32">
        <f t="shared" si="264"/>
        <v>31060.81</v>
      </c>
      <c r="AD571" s="32">
        <v>70000</v>
      </c>
      <c r="AE571" s="32">
        <v>0</v>
      </c>
      <c r="AF571" s="35">
        <v>2021</v>
      </c>
      <c r="AG571" s="35">
        <v>2021</v>
      </c>
      <c r="AH571" s="36">
        <v>2021</v>
      </c>
      <c r="AT571" s="21" t="e">
        <f t="shared" si="265"/>
        <v>#N/A</v>
      </c>
    </row>
    <row r="572" spans="1:46" ht="61.5" x14ac:dyDescent="0.85">
      <c r="A572" s="21">
        <v>1</v>
      </c>
      <c r="B572" s="70">
        <f>SUBTOTAL(103,$A$535:A572)</f>
        <v>38</v>
      </c>
      <c r="C572" s="25" t="s">
        <v>585</v>
      </c>
      <c r="D572" s="32">
        <f t="shared" si="254"/>
        <v>763048.75</v>
      </c>
      <c r="E572" s="32">
        <v>0</v>
      </c>
      <c r="F572" s="32">
        <v>0</v>
      </c>
      <c r="G572" s="32">
        <v>0</v>
      </c>
      <c r="H572" s="32">
        <v>0</v>
      </c>
      <c r="I572" s="32">
        <v>0</v>
      </c>
      <c r="J572" s="32">
        <v>0</v>
      </c>
      <c r="K572" s="34">
        <v>0</v>
      </c>
      <c r="L572" s="32">
        <v>0</v>
      </c>
      <c r="M572" s="32">
        <v>185.8</v>
      </c>
      <c r="N572" s="32">
        <v>653250</v>
      </c>
      <c r="O572" s="32">
        <v>0</v>
      </c>
      <c r="P572" s="32">
        <v>0</v>
      </c>
      <c r="Q572" s="32">
        <v>0</v>
      </c>
      <c r="R572" s="32">
        <v>0</v>
      </c>
      <c r="S572" s="32">
        <v>0</v>
      </c>
      <c r="T572" s="32">
        <v>0</v>
      </c>
      <c r="U572" s="32">
        <v>0</v>
      </c>
      <c r="V572" s="32">
        <v>0</v>
      </c>
      <c r="W572" s="32">
        <v>0</v>
      </c>
      <c r="X572" s="32">
        <v>0</v>
      </c>
      <c r="Y572" s="32">
        <v>0</v>
      </c>
      <c r="Z572" s="32">
        <v>0</v>
      </c>
      <c r="AA572" s="32">
        <v>0</v>
      </c>
      <c r="AB572" s="32">
        <v>0</v>
      </c>
      <c r="AC572" s="32">
        <f>ROUND(N572*1.5%,2)</f>
        <v>9798.75</v>
      </c>
      <c r="AD572" s="32">
        <v>100000</v>
      </c>
      <c r="AE572" s="32">
        <v>0</v>
      </c>
      <c r="AF572" s="35">
        <v>2021</v>
      </c>
      <c r="AG572" s="35">
        <v>2021</v>
      </c>
      <c r="AH572" s="36">
        <v>2021</v>
      </c>
      <c r="AT572" s="21" t="e">
        <f t="shared" si="265"/>
        <v>#N/A</v>
      </c>
    </row>
    <row r="573" spans="1:46" ht="61.5" x14ac:dyDescent="0.85">
      <c r="A573" s="21">
        <v>1</v>
      </c>
      <c r="B573" s="70">
        <f>SUBTOTAL(103,$A$535:A573)</f>
        <v>39</v>
      </c>
      <c r="C573" s="25" t="s">
        <v>586</v>
      </c>
      <c r="D573" s="32">
        <f t="shared" si="254"/>
        <v>2794940.58</v>
      </c>
      <c r="E573" s="32">
        <v>0</v>
      </c>
      <c r="F573" s="32">
        <v>0</v>
      </c>
      <c r="G573" s="32">
        <v>0</v>
      </c>
      <c r="H573" s="32">
        <v>0</v>
      </c>
      <c r="I573" s="32">
        <v>0</v>
      </c>
      <c r="J573" s="32">
        <v>0</v>
      </c>
      <c r="K573" s="34">
        <v>0</v>
      </c>
      <c r="L573" s="32">
        <v>0</v>
      </c>
      <c r="M573" s="32">
        <v>642</v>
      </c>
      <c r="N573" s="32">
        <v>2655113.87</v>
      </c>
      <c r="O573" s="32">
        <v>0</v>
      </c>
      <c r="P573" s="32">
        <v>0</v>
      </c>
      <c r="Q573" s="32">
        <v>0</v>
      </c>
      <c r="R573" s="32">
        <v>0</v>
      </c>
      <c r="S573" s="32">
        <v>0</v>
      </c>
      <c r="T573" s="32">
        <v>0</v>
      </c>
      <c r="U573" s="32">
        <v>0</v>
      </c>
      <c r="V573" s="32">
        <v>0</v>
      </c>
      <c r="W573" s="32">
        <v>0</v>
      </c>
      <c r="X573" s="32">
        <v>0</v>
      </c>
      <c r="Y573" s="32">
        <v>0</v>
      </c>
      <c r="Z573" s="32">
        <v>0</v>
      </c>
      <c r="AA573" s="32">
        <v>0</v>
      </c>
      <c r="AB573" s="32">
        <v>0</v>
      </c>
      <c r="AC573" s="32">
        <f t="shared" ref="AC573:AC576" si="266">ROUND(N573*1.5%,2)</f>
        <v>39826.71</v>
      </c>
      <c r="AD573" s="32">
        <v>100000</v>
      </c>
      <c r="AE573" s="32">
        <v>0</v>
      </c>
      <c r="AF573" s="35">
        <v>2021</v>
      </c>
      <c r="AG573" s="35">
        <v>2021</v>
      </c>
      <c r="AH573" s="36">
        <v>2021</v>
      </c>
      <c r="AT573" s="21" t="e">
        <f t="shared" si="265"/>
        <v>#N/A</v>
      </c>
    </row>
    <row r="574" spans="1:46" ht="61.5" x14ac:dyDescent="0.85">
      <c r="A574" s="21">
        <v>1</v>
      </c>
      <c r="B574" s="70">
        <f>SUBTOTAL(103,$A$535:A574)</f>
        <v>40</v>
      </c>
      <c r="C574" s="25" t="s">
        <v>850</v>
      </c>
      <c r="D574" s="32">
        <f t="shared" si="254"/>
        <v>1584967.92</v>
      </c>
      <c r="E574" s="32">
        <v>0</v>
      </c>
      <c r="F574" s="32">
        <v>0</v>
      </c>
      <c r="G574" s="32">
        <v>0</v>
      </c>
      <c r="H574" s="32">
        <v>0</v>
      </c>
      <c r="I574" s="32">
        <v>0</v>
      </c>
      <c r="J574" s="32">
        <v>0</v>
      </c>
      <c r="K574" s="34">
        <v>0</v>
      </c>
      <c r="L574" s="32">
        <v>0</v>
      </c>
      <c r="M574" s="32">
        <v>300</v>
      </c>
      <c r="N574" s="32">
        <v>1492579.23</v>
      </c>
      <c r="O574" s="32">
        <v>0</v>
      </c>
      <c r="P574" s="32">
        <v>0</v>
      </c>
      <c r="Q574" s="32">
        <v>0</v>
      </c>
      <c r="R574" s="32">
        <v>0</v>
      </c>
      <c r="S574" s="32">
        <v>0</v>
      </c>
      <c r="T574" s="32">
        <v>0</v>
      </c>
      <c r="U574" s="32">
        <v>0</v>
      </c>
      <c r="V574" s="32">
        <v>0</v>
      </c>
      <c r="W574" s="32">
        <v>0</v>
      </c>
      <c r="X574" s="32">
        <v>0</v>
      </c>
      <c r="Y574" s="32">
        <v>0</v>
      </c>
      <c r="Z574" s="32">
        <v>0</v>
      </c>
      <c r="AA574" s="32">
        <v>0</v>
      </c>
      <c r="AB574" s="32">
        <v>0</v>
      </c>
      <c r="AC574" s="32">
        <f t="shared" si="266"/>
        <v>22388.69</v>
      </c>
      <c r="AD574" s="32">
        <v>70000</v>
      </c>
      <c r="AE574" s="32">
        <v>0</v>
      </c>
      <c r="AF574" s="35">
        <v>2021</v>
      </c>
      <c r="AG574" s="35">
        <v>2021</v>
      </c>
      <c r="AH574" s="36">
        <v>2021</v>
      </c>
      <c r="AT574" s="21" t="e">
        <f t="shared" si="265"/>
        <v>#N/A</v>
      </c>
    </row>
    <row r="575" spans="1:46" ht="61.5" x14ac:dyDescent="0.85">
      <c r="A575" s="21">
        <v>1</v>
      </c>
      <c r="B575" s="70">
        <f>SUBTOTAL(103,$A$535:A575)</f>
        <v>41</v>
      </c>
      <c r="C575" s="25" t="s">
        <v>587</v>
      </c>
      <c r="D575" s="32">
        <f t="shared" si="254"/>
        <v>11173348.710000001</v>
      </c>
      <c r="E575" s="32">
        <v>0</v>
      </c>
      <c r="F575" s="32">
        <v>0</v>
      </c>
      <c r="G575" s="32">
        <v>0</v>
      </c>
      <c r="H575" s="32">
        <v>0</v>
      </c>
      <c r="I575" s="32">
        <v>0</v>
      </c>
      <c r="J575" s="32">
        <v>0</v>
      </c>
      <c r="K575" s="34">
        <v>0</v>
      </c>
      <c r="L575" s="32">
        <v>0</v>
      </c>
      <c r="M575" s="32">
        <v>2300</v>
      </c>
      <c r="N575" s="32">
        <v>10909703.16</v>
      </c>
      <c r="O575" s="32">
        <v>0</v>
      </c>
      <c r="P575" s="32">
        <v>0</v>
      </c>
      <c r="Q575" s="32">
        <v>0</v>
      </c>
      <c r="R575" s="32">
        <v>0</v>
      </c>
      <c r="S575" s="32">
        <v>0</v>
      </c>
      <c r="T575" s="32">
        <v>0</v>
      </c>
      <c r="U575" s="32">
        <v>0</v>
      </c>
      <c r="V575" s="32">
        <v>0</v>
      </c>
      <c r="W575" s="32">
        <v>0</v>
      </c>
      <c r="X575" s="32">
        <v>0</v>
      </c>
      <c r="Y575" s="32">
        <v>0</v>
      </c>
      <c r="Z575" s="32">
        <v>0</v>
      </c>
      <c r="AA575" s="32">
        <v>0</v>
      </c>
      <c r="AB575" s="32">
        <v>0</v>
      </c>
      <c r="AC575" s="32">
        <f t="shared" si="266"/>
        <v>163645.54999999999</v>
      </c>
      <c r="AD575" s="32">
        <v>100000</v>
      </c>
      <c r="AE575" s="32">
        <v>0</v>
      </c>
      <c r="AF575" s="35">
        <v>2021</v>
      </c>
      <c r="AG575" s="35">
        <v>2021</v>
      </c>
      <c r="AH575" s="36">
        <v>2021</v>
      </c>
      <c r="AT575" s="21" t="e">
        <f t="shared" si="265"/>
        <v>#N/A</v>
      </c>
    </row>
    <row r="576" spans="1:46" ht="61.5" x14ac:dyDescent="0.85">
      <c r="A576" s="21">
        <v>1</v>
      </c>
      <c r="B576" s="70">
        <f>SUBTOTAL(103,$A$535:A576)</f>
        <v>42</v>
      </c>
      <c r="C576" s="25" t="s">
        <v>588</v>
      </c>
      <c r="D576" s="32">
        <f t="shared" si="254"/>
        <v>5877399.3300000001</v>
      </c>
      <c r="E576" s="32">
        <v>0</v>
      </c>
      <c r="F576" s="32">
        <v>0</v>
      </c>
      <c r="G576" s="32">
        <v>0</v>
      </c>
      <c r="H576" s="32">
        <v>0</v>
      </c>
      <c r="I576" s="32">
        <v>0</v>
      </c>
      <c r="J576" s="32">
        <v>0</v>
      </c>
      <c r="K576" s="34">
        <v>0</v>
      </c>
      <c r="L576" s="32">
        <v>0</v>
      </c>
      <c r="M576" s="32">
        <v>1200</v>
      </c>
      <c r="N576" s="32">
        <v>5692019.04</v>
      </c>
      <c r="O576" s="32">
        <v>0</v>
      </c>
      <c r="P576" s="32">
        <v>0</v>
      </c>
      <c r="Q576" s="32">
        <v>0</v>
      </c>
      <c r="R576" s="32">
        <v>0</v>
      </c>
      <c r="S576" s="32">
        <v>0</v>
      </c>
      <c r="T576" s="32">
        <v>0</v>
      </c>
      <c r="U576" s="32">
        <v>0</v>
      </c>
      <c r="V576" s="32">
        <v>0</v>
      </c>
      <c r="W576" s="32">
        <v>0</v>
      </c>
      <c r="X576" s="32">
        <v>0</v>
      </c>
      <c r="Y576" s="32">
        <v>0</v>
      </c>
      <c r="Z576" s="32">
        <v>0</v>
      </c>
      <c r="AA576" s="32">
        <v>0</v>
      </c>
      <c r="AB576" s="32">
        <v>0</v>
      </c>
      <c r="AC576" s="32">
        <f t="shared" si="266"/>
        <v>85380.29</v>
      </c>
      <c r="AD576" s="32">
        <v>100000</v>
      </c>
      <c r="AE576" s="32">
        <v>0</v>
      </c>
      <c r="AF576" s="35">
        <v>2021</v>
      </c>
      <c r="AG576" s="35">
        <v>2021</v>
      </c>
      <c r="AH576" s="36">
        <v>2021</v>
      </c>
      <c r="AT576" s="21" t="e">
        <f t="shared" si="265"/>
        <v>#N/A</v>
      </c>
    </row>
    <row r="577" spans="1:46" ht="61.5" x14ac:dyDescent="0.85">
      <c r="A577" s="21">
        <v>1</v>
      </c>
      <c r="B577" s="70">
        <f>SUBTOTAL(103,$A$535:A577)</f>
        <v>43</v>
      </c>
      <c r="C577" s="25" t="s">
        <v>589</v>
      </c>
      <c r="D577" s="32">
        <f t="shared" si="254"/>
        <v>2102735.67</v>
      </c>
      <c r="E577" s="32">
        <v>0</v>
      </c>
      <c r="F577" s="32">
        <v>0</v>
      </c>
      <c r="G577" s="32">
        <v>0</v>
      </c>
      <c r="H577" s="32">
        <v>0</v>
      </c>
      <c r="I577" s="32">
        <v>0</v>
      </c>
      <c r="J577" s="32">
        <v>0</v>
      </c>
      <c r="K577" s="34">
        <v>0</v>
      </c>
      <c r="L577" s="32">
        <v>0</v>
      </c>
      <c r="M577" s="32">
        <v>0</v>
      </c>
      <c r="N577" s="32">
        <v>0</v>
      </c>
      <c r="O577" s="32">
        <v>0</v>
      </c>
      <c r="P577" s="32">
        <v>0</v>
      </c>
      <c r="Q577" s="32">
        <v>483</v>
      </c>
      <c r="R577" s="32">
        <v>1973138.59</v>
      </c>
      <c r="S577" s="32">
        <v>0</v>
      </c>
      <c r="T577" s="32">
        <v>0</v>
      </c>
      <c r="U577" s="32">
        <v>0</v>
      </c>
      <c r="V577" s="32">
        <v>0</v>
      </c>
      <c r="W577" s="32">
        <v>0</v>
      </c>
      <c r="X577" s="32">
        <v>0</v>
      </c>
      <c r="Y577" s="32">
        <v>0</v>
      </c>
      <c r="Z577" s="32">
        <v>0</v>
      </c>
      <c r="AA577" s="32">
        <v>0</v>
      </c>
      <c r="AB577" s="32">
        <v>0</v>
      </c>
      <c r="AC577" s="32">
        <f t="shared" ref="AC577" si="267">ROUND(R577*1.5%,2)</f>
        <v>29597.08</v>
      </c>
      <c r="AD577" s="32">
        <v>100000</v>
      </c>
      <c r="AE577" s="32">
        <v>0</v>
      </c>
      <c r="AF577" s="35">
        <v>2021</v>
      </c>
      <c r="AG577" s="35">
        <v>2021</v>
      </c>
      <c r="AH577" s="36">
        <v>2021</v>
      </c>
      <c r="AT577" s="21" t="e">
        <f t="shared" si="265"/>
        <v>#N/A</v>
      </c>
    </row>
    <row r="578" spans="1:46" ht="61.5" x14ac:dyDescent="0.85">
      <c r="A578" s="21">
        <v>1</v>
      </c>
      <c r="B578" s="70">
        <f>SUBTOTAL(103,$A$535:A578)</f>
        <v>44</v>
      </c>
      <c r="C578" s="25" t="s">
        <v>590</v>
      </c>
      <c r="D578" s="32">
        <f t="shared" si="254"/>
        <v>2323274.2000000002</v>
      </c>
      <c r="E578" s="32">
        <v>0</v>
      </c>
      <c r="F578" s="32">
        <v>0</v>
      </c>
      <c r="G578" s="32">
        <v>0</v>
      </c>
      <c r="H578" s="32">
        <v>0</v>
      </c>
      <c r="I578" s="32">
        <v>0</v>
      </c>
      <c r="J578" s="32">
        <v>0</v>
      </c>
      <c r="K578" s="34">
        <v>0</v>
      </c>
      <c r="L578" s="32">
        <v>0</v>
      </c>
      <c r="M578" s="32">
        <v>506.2</v>
      </c>
      <c r="N578" s="32">
        <v>2190417.9300000002</v>
      </c>
      <c r="O578" s="32">
        <v>0</v>
      </c>
      <c r="P578" s="32">
        <v>0</v>
      </c>
      <c r="Q578" s="32">
        <v>0</v>
      </c>
      <c r="R578" s="32">
        <v>0</v>
      </c>
      <c r="S578" s="32">
        <v>0</v>
      </c>
      <c r="T578" s="32">
        <v>0</v>
      </c>
      <c r="U578" s="32">
        <v>0</v>
      </c>
      <c r="V578" s="32">
        <v>0</v>
      </c>
      <c r="W578" s="32">
        <v>0</v>
      </c>
      <c r="X578" s="32">
        <v>0</v>
      </c>
      <c r="Y578" s="32">
        <v>0</v>
      </c>
      <c r="Z578" s="32">
        <v>0</v>
      </c>
      <c r="AA578" s="32">
        <v>0</v>
      </c>
      <c r="AB578" s="32">
        <v>0</v>
      </c>
      <c r="AC578" s="32">
        <f>ROUND(N578*1.5%,2)</f>
        <v>32856.269999999997</v>
      </c>
      <c r="AD578" s="32">
        <v>100000</v>
      </c>
      <c r="AE578" s="32">
        <v>0</v>
      </c>
      <c r="AF578" s="35">
        <v>2021</v>
      </c>
      <c r="AG578" s="35">
        <v>2021</v>
      </c>
      <c r="AH578" s="36">
        <v>2021</v>
      </c>
      <c r="AT578" s="21" t="e">
        <f t="shared" si="265"/>
        <v>#N/A</v>
      </c>
    </row>
    <row r="579" spans="1:46" ht="61.5" x14ac:dyDescent="0.85">
      <c r="A579" s="21">
        <v>1</v>
      </c>
      <c r="B579" s="70">
        <f>SUBTOTAL(103,$A$535:A579)</f>
        <v>45</v>
      </c>
      <c r="C579" s="25" t="s">
        <v>591</v>
      </c>
      <c r="D579" s="32">
        <f t="shared" si="254"/>
        <v>4748603.68</v>
      </c>
      <c r="E579" s="32">
        <v>0</v>
      </c>
      <c r="F579" s="32">
        <v>0</v>
      </c>
      <c r="G579" s="32">
        <v>0</v>
      </c>
      <c r="H579" s="32">
        <v>0</v>
      </c>
      <c r="I579" s="32">
        <v>0</v>
      </c>
      <c r="J579" s="32">
        <v>0</v>
      </c>
      <c r="K579" s="34">
        <v>0</v>
      </c>
      <c r="L579" s="32">
        <v>0</v>
      </c>
      <c r="M579" s="32">
        <v>960</v>
      </c>
      <c r="N579" s="32">
        <v>4579905.0999999996</v>
      </c>
      <c r="O579" s="32">
        <v>0</v>
      </c>
      <c r="P579" s="32">
        <v>0</v>
      </c>
      <c r="Q579" s="32">
        <v>0</v>
      </c>
      <c r="R579" s="32">
        <v>0</v>
      </c>
      <c r="S579" s="32">
        <v>0</v>
      </c>
      <c r="T579" s="32">
        <v>0</v>
      </c>
      <c r="U579" s="32">
        <v>0</v>
      </c>
      <c r="V579" s="32">
        <v>0</v>
      </c>
      <c r="W579" s="32">
        <v>0</v>
      </c>
      <c r="X579" s="32">
        <v>0</v>
      </c>
      <c r="Y579" s="32">
        <v>0</v>
      </c>
      <c r="Z579" s="32">
        <v>0</v>
      </c>
      <c r="AA579" s="32">
        <v>0</v>
      </c>
      <c r="AB579" s="32">
        <v>0</v>
      </c>
      <c r="AC579" s="32">
        <f t="shared" ref="AC579:AC647" si="268">ROUND(N579*1.5%,2)</f>
        <v>68698.58</v>
      </c>
      <c r="AD579" s="32">
        <v>100000</v>
      </c>
      <c r="AE579" s="32">
        <v>0</v>
      </c>
      <c r="AF579" s="35">
        <v>2021</v>
      </c>
      <c r="AG579" s="35">
        <v>2021</v>
      </c>
      <c r="AH579" s="36">
        <v>2021</v>
      </c>
      <c r="AT579" s="21" t="e">
        <f t="shared" si="265"/>
        <v>#N/A</v>
      </c>
    </row>
    <row r="580" spans="1:46" ht="61.5" x14ac:dyDescent="0.85">
      <c r="A580" s="21">
        <v>1</v>
      </c>
      <c r="B580" s="70">
        <f>SUBTOTAL(103,$A$535:A580)</f>
        <v>46</v>
      </c>
      <c r="C580" s="25" t="s">
        <v>592</v>
      </c>
      <c r="D580" s="32">
        <f t="shared" si="254"/>
        <v>3192730.04</v>
      </c>
      <c r="E580" s="32">
        <v>0</v>
      </c>
      <c r="F580" s="32">
        <v>0</v>
      </c>
      <c r="G580" s="32">
        <v>0</v>
      </c>
      <c r="H580" s="32">
        <v>0</v>
      </c>
      <c r="I580" s="32">
        <v>0</v>
      </c>
      <c r="J580" s="32">
        <v>0</v>
      </c>
      <c r="K580" s="34">
        <v>0</v>
      </c>
      <c r="L580" s="32">
        <v>0</v>
      </c>
      <c r="M580" s="32">
        <v>651</v>
      </c>
      <c r="N580" s="32">
        <v>3047024.67</v>
      </c>
      <c r="O580" s="32">
        <v>0</v>
      </c>
      <c r="P580" s="32">
        <v>0</v>
      </c>
      <c r="Q580" s="32">
        <v>0</v>
      </c>
      <c r="R580" s="32">
        <v>0</v>
      </c>
      <c r="S580" s="32">
        <v>0</v>
      </c>
      <c r="T580" s="32">
        <v>0</v>
      </c>
      <c r="U580" s="32">
        <v>0</v>
      </c>
      <c r="V580" s="32">
        <v>0</v>
      </c>
      <c r="W580" s="32">
        <v>0</v>
      </c>
      <c r="X580" s="32">
        <v>0</v>
      </c>
      <c r="Y580" s="32">
        <v>0</v>
      </c>
      <c r="Z580" s="32">
        <v>0</v>
      </c>
      <c r="AA580" s="32">
        <v>0</v>
      </c>
      <c r="AB580" s="32">
        <v>0</v>
      </c>
      <c r="AC580" s="32">
        <f t="shared" si="268"/>
        <v>45705.37</v>
      </c>
      <c r="AD580" s="32">
        <v>100000</v>
      </c>
      <c r="AE580" s="32">
        <v>0</v>
      </c>
      <c r="AF580" s="35">
        <v>2021</v>
      </c>
      <c r="AG580" s="35">
        <v>2021</v>
      </c>
      <c r="AH580" s="36">
        <v>2021</v>
      </c>
      <c r="AT580" s="21" t="e">
        <f t="shared" si="265"/>
        <v>#N/A</v>
      </c>
    </row>
    <row r="581" spans="1:46" ht="61.5" x14ac:dyDescent="0.85">
      <c r="A581" s="21">
        <v>1</v>
      </c>
      <c r="B581" s="70">
        <f>SUBTOTAL(103,$A$535:A581)</f>
        <v>47</v>
      </c>
      <c r="C581" s="25" t="s">
        <v>593</v>
      </c>
      <c r="D581" s="32">
        <f t="shared" si="254"/>
        <v>1265842.2</v>
      </c>
      <c r="E581" s="32">
        <v>0</v>
      </c>
      <c r="F581" s="32">
        <v>0</v>
      </c>
      <c r="G581" s="32">
        <v>0</v>
      </c>
      <c r="H581" s="32">
        <v>0</v>
      </c>
      <c r="I581" s="32">
        <v>0</v>
      </c>
      <c r="J581" s="32">
        <v>0</v>
      </c>
      <c r="K581" s="34">
        <v>0</v>
      </c>
      <c r="L581" s="32">
        <v>0</v>
      </c>
      <c r="M581" s="32">
        <v>287</v>
      </c>
      <c r="N581" s="32">
        <v>1148613</v>
      </c>
      <c r="O581" s="32">
        <v>0</v>
      </c>
      <c r="P581" s="32">
        <v>0</v>
      </c>
      <c r="Q581" s="32">
        <v>0</v>
      </c>
      <c r="R581" s="32">
        <v>0</v>
      </c>
      <c r="S581" s="32">
        <v>0</v>
      </c>
      <c r="T581" s="32">
        <v>0</v>
      </c>
      <c r="U581" s="32">
        <v>0</v>
      </c>
      <c r="V581" s="32">
        <v>0</v>
      </c>
      <c r="W581" s="32">
        <v>0</v>
      </c>
      <c r="X581" s="32">
        <v>0</v>
      </c>
      <c r="Y581" s="32">
        <v>0</v>
      </c>
      <c r="Z581" s="32">
        <v>0</v>
      </c>
      <c r="AA581" s="32">
        <v>0</v>
      </c>
      <c r="AB581" s="32">
        <v>0</v>
      </c>
      <c r="AC581" s="32">
        <f t="shared" si="268"/>
        <v>17229.2</v>
      </c>
      <c r="AD581" s="32">
        <v>100000</v>
      </c>
      <c r="AE581" s="32">
        <v>0</v>
      </c>
      <c r="AF581" s="35">
        <v>2021</v>
      </c>
      <c r="AG581" s="35">
        <v>2021</v>
      </c>
      <c r="AH581" s="36">
        <v>2021</v>
      </c>
      <c r="AT581" s="21" t="e">
        <f t="shared" si="265"/>
        <v>#N/A</v>
      </c>
    </row>
    <row r="582" spans="1:46" ht="61.5" x14ac:dyDescent="0.85">
      <c r="A582" s="21">
        <v>1</v>
      </c>
      <c r="B582" s="70">
        <f>SUBTOTAL(103,$A$535:A582)</f>
        <v>48</v>
      </c>
      <c r="C582" s="25" t="s">
        <v>594</v>
      </c>
      <c r="D582" s="32">
        <f t="shared" si="254"/>
        <v>3576070.0900000003</v>
      </c>
      <c r="E582" s="32">
        <v>0</v>
      </c>
      <c r="F582" s="32">
        <v>0</v>
      </c>
      <c r="G582" s="32">
        <v>0</v>
      </c>
      <c r="H582" s="32">
        <v>0</v>
      </c>
      <c r="I582" s="32">
        <v>0</v>
      </c>
      <c r="J582" s="32">
        <v>0</v>
      </c>
      <c r="K582" s="34">
        <v>0</v>
      </c>
      <c r="L582" s="32">
        <v>0</v>
      </c>
      <c r="M582" s="32">
        <v>722</v>
      </c>
      <c r="N582" s="32">
        <v>3424699.6</v>
      </c>
      <c r="O582" s="32">
        <v>0</v>
      </c>
      <c r="P582" s="32">
        <v>0</v>
      </c>
      <c r="Q582" s="32">
        <v>0</v>
      </c>
      <c r="R582" s="32">
        <v>0</v>
      </c>
      <c r="S582" s="32">
        <v>0</v>
      </c>
      <c r="T582" s="32">
        <v>0</v>
      </c>
      <c r="U582" s="32">
        <v>0</v>
      </c>
      <c r="V582" s="32">
        <v>0</v>
      </c>
      <c r="W582" s="32">
        <v>0</v>
      </c>
      <c r="X582" s="32">
        <v>0</v>
      </c>
      <c r="Y582" s="32">
        <v>0</v>
      </c>
      <c r="Z582" s="32">
        <v>0</v>
      </c>
      <c r="AA582" s="32">
        <v>0</v>
      </c>
      <c r="AB582" s="32">
        <v>0</v>
      </c>
      <c r="AC582" s="32">
        <f t="shared" si="268"/>
        <v>51370.49</v>
      </c>
      <c r="AD582" s="32">
        <v>100000</v>
      </c>
      <c r="AE582" s="32">
        <v>0</v>
      </c>
      <c r="AF582" s="35">
        <v>2021</v>
      </c>
      <c r="AG582" s="35">
        <v>2021</v>
      </c>
      <c r="AH582" s="36">
        <v>2021</v>
      </c>
      <c r="AT582" s="21" t="e">
        <f t="shared" si="265"/>
        <v>#N/A</v>
      </c>
    </row>
    <row r="583" spans="1:46" ht="61.5" x14ac:dyDescent="0.85">
      <c r="A583" s="21">
        <v>1</v>
      </c>
      <c r="B583" s="70">
        <f>SUBTOTAL(103,$A$535:A583)</f>
        <v>49</v>
      </c>
      <c r="C583" s="25" t="s">
        <v>595</v>
      </c>
      <c r="D583" s="32">
        <f t="shared" si="254"/>
        <v>8216874.9699999997</v>
      </c>
      <c r="E583" s="32">
        <v>0</v>
      </c>
      <c r="F583" s="32">
        <v>0</v>
      </c>
      <c r="G583" s="32">
        <v>0</v>
      </c>
      <c r="H583" s="32">
        <v>0</v>
      </c>
      <c r="I583" s="32">
        <v>0</v>
      </c>
      <c r="J583" s="32">
        <v>0</v>
      </c>
      <c r="K583" s="34">
        <v>0</v>
      </c>
      <c r="L583" s="32">
        <v>0</v>
      </c>
      <c r="M583" s="32">
        <v>1688</v>
      </c>
      <c r="N583" s="32">
        <v>8006773.3700000001</v>
      </c>
      <c r="O583" s="32">
        <v>0</v>
      </c>
      <c r="P583" s="32">
        <v>0</v>
      </c>
      <c r="Q583" s="32">
        <v>0</v>
      </c>
      <c r="R583" s="32">
        <v>0</v>
      </c>
      <c r="S583" s="32">
        <v>0</v>
      </c>
      <c r="T583" s="32">
        <v>0</v>
      </c>
      <c r="U583" s="32">
        <v>0</v>
      </c>
      <c r="V583" s="32">
        <v>0</v>
      </c>
      <c r="W583" s="32">
        <v>0</v>
      </c>
      <c r="X583" s="32">
        <v>0</v>
      </c>
      <c r="Y583" s="32">
        <v>0</v>
      </c>
      <c r="Z583" s="32">
        <v>0</v>
      </c>
      <c r="AA583" s="32">
        <v>0</v>
      </c>
      <c r="AB583" s="32">
        <v>0</v>
      </c>
      <c r="AC583" s="32">
        <f t="shared" si="268"/>
        <v>120101.6</v>
      </c>
      <c r="AD583" s="32">
        <v>90000</v>
      </c>
      <c r="AE583" s="32">
        <v>0</v>
      </c>
      <c r="AF583" s="35">
        <v>2021</v>
      </c>
      <c r="AG583" s="35">
        <v>2021</v>
      </c>
      <c r="AH583" s="36">
        <v>2021</v>
      </c>
      <c r="AT583" s="21" t="e">
        <f t="shared" si="265"/>
        <v>#N/A</v>
      </c>
    </row>
    <row r="584" spans="1:46" ht="61.5" x14ac:dyDescent="0.85">
      <c r="A584" s="21">
        <v>1</v>
      </c>
      <c r="B584" s="70">
        <f>SUBTOTAL(103,$A$535:A584)</f>
        <v>50</v>
      </c>
      <c r="C584" s="25" t="s">
        <v>596</v>
      </c>
      <c r="D584" s="32">
        <f t="shared" si="254"/>
        <v>5458332.7699999996</v>
      </c>
      <c r="E584" s="32">
        <v>0</v>
      </c>
      <c r="F584" s="32">
        <v>0</v>
      </c>
      <c r="G584" s="32">
        <v>0</v>
      </c>
      <c r="H584" s="32">
        <v>0</v>
      </c>
      <c r="I584" s="32">
        <v>0</v>
      </c>
      <c r="J584" s="32">
        <v>0</v>
      </c>
      <c r="K584" s="34">
        <v>0</v>
      </c>
      <c r="L584" s="32">
        <v>0</v>
      </c>
      <c r="M584" s="32">
        <v>1130</v>
      </c>
      <c r="N584" s="32">
        <v>5288997.8</v>
      </c>
      <c r="O584" s="32">
        <v>0</v>
      </c>
      <c r="P584" s="32">
        <v>0</v>
      </c>
      <c r="Q584" s="32">
        <v>0</v>
      </c>
      <c r="R584" s="32">
        <v>0</v>
      </c>
      <c r="S584" s="32">
        <v>0</v>
      </c>
      <c r="T584" s="32">
        <v>0</v>
      </c>
      <c r="U584" s="32">
        <v>0</v>
      </c>
      <c r="V584" s="32">
        <v>0</v>
      </c>
      <c r="W584" s="32">
        <v>0</v>
      </c>
      <c r="X584" s="32">
        <v>0</v>
      </c>
      <c r="Y584" s="32">
        <v>0</v>
      </c>
      <c r="Z584" s="32">
        <v>0</v>
      </c>
      <c r="AA584" s="32">
        <v>0</v>
      </c>
      <c r="AB584" s="32">
        <v>0</v>
      </c>
      <c r="AC584" s="32">
        <f t="shared" si="268"/>
        <v>79334.97</v>
      </c>
      <c r="AD584" s="32">
        <v>90000</v>
      </c>
      <c r="AE584" s="32">
        <v>0</v>
      </c>
      <c r="AF584" s="35">
        <v>2021</v>
      </c>
      <c r="AG584" s="35">
        <v>2021</v>
      </c>
      <c r="AH584" s="36">
        <v>2021</v>
      </c>
      <c r="AT584" s="21" t="e">
        <f t="shared" si="265"/>
        <v>#N/A</v>
      </c>
    </row>
    <row r="585" spans="1:46" ht="61.5" x14ac:dyDescent="0.85">
      <c r="A585" s="21">
        <v>1</v>
      </c>
      <c r="B585" s="70">
        <f>SUBTOTAL(103,$A$535:A585)</f>
        <v>51</v>
      </c>
      <c r="C585" s="25" t="s">
        <v>1484</v>
      </c>
      <c r="D585" s="32">
        <f t="shared" si="254"/>
        <v>3614770.42</v>
      </c>
      <c r="E585" s="32">
        <v>0</v>
      </c>
      <c r="F585" s="32">
        <v>0</v>
      </c>
      <c r="G585" s="32">
        <v>0</v>
      </c>
      <c r="H585" s="32">
        <v>0</v>
      </c>
      <c r="I585" s="32">
        <v>0</v>
      </c>
      <c r="J585" s="32">
        <v>0</v>
      </c>
      <c r="K585" s="34">
        <v>0</v>
      </c>
      <c r="L585" s="32">
        <v>0</v>
      </c>
      <c r="M585" s="32">
        <v>756</v>
      </c>
      <c r="N585" s="32">
        <v>3462828</v>
      </c>
      <c r="O585" s="32">
        <v>0</v>
      </c>
      <c r="P585" s="32">
        <v>0</v>
      </c>
      <c r="Q585" s="32">
        <v>0</v>
      </c>
      <c r="R585" s="32">
        <v>0</v>
      </c>
      <c r="S585" s="32">
        <v>0</v>
      </c>
      <c r="T585" s="32">
        <v>0</v>
      </c>
      <c r="U585" s="32">
        <v>0</v>
      </c>
      <c r="V585" s="32">
        <v>0</v>
      </c>
      <c r="W585" s="32">
        <v>0</v>
      </c>
      <c r="X585" s="32">
        <v>0</v>
      </c>
      <c r="Y585" s="32">
        <v>0</v>
      </c>
      <c r="Z585" s="32">
        <v>0</v>
      </c>
      <c r="AA585" s="32">
        <v>0</v>
      </c>
      <c r="AB585" s="32">
        <v>0</v>
      </c>
      <c r="AC585" s="32">
        <v>51942.42</v>
      </c>
      <c r="AD585" s="32">
        <v>100000</v>
      </c>
      <c r="AE585" s="32">
        <v>0</v>
      </c>
      <c r="AF585" s="35">
        <v>2021</v>
      </c>
      <c r="AG585" s="35">
        <v>2021</v>
      </c>
      <c r="AH585" s="36">
        <v>2021</v>
      </c>
    </row>
    <row r="586" spans="1:46" ht="61.5" x14ac:dyDescent="0.85">
      <c r="A586" s="21">
        <v>1</v>
      </c>
      <c r="B586" s="70">
        <f>SUBTOTAL(103,$A$535:A586)</f>
        <v>52</v>
      </c>
      <c r="C586" s="25" t="s">
        <v>1485</v>
      </c>
      <c r="D586" s="32">
        <f t="shared" si="254"/>
        <v>3214943.65</v>
      </c>
      <c r="E586" s="32">
        <v>0</v>
      </c>
      <c r="F586" s="32">
        <v>0</v>
      </c>
      <c r="G586" s="32">
        <v>0</v>
      </c>
      <c r="H586" s="32">
        <v>0</v>
      </c>
      <c r="I586" s="32">
        <v>0</v>
      </c>
      <c r="J586" s="32">
        <v>0</v>
      </c>
      <c r="K586" s="34">
        <v>0</v>
      </c>
      <c r="L586" s="32">
        <v>0</v>
      </c>
      <c r="M586" s="32">
        <v>670</v>
      </c>
      <c r="N586" s="32">
        <v>3068910</v>
      </c>
      <c r="O586" s="32">
        <v>0</v>
      </c>
      <c r="P586" s="32">
        <v>0</v>
      </c>
      <c r="Q586" s="32">
        <v>0</v>
      </c>
      <c r="R586" s="32">
        <v>0</v>
      </c>
      <c r="S586" s="32">
        <v>0</v>
      </c>
      <c r="T586" s="32">
        <v>0</v>
      </c>
      <c r="U586" s="32">
        <v>0</v>
      </c>
      <c r="V586" s="32">
        <v>0</v>
      </c>
      <c r="W586" s="32">
        <v>0</v>
      </c>
      <c r="X586" s="32">
        <v>0</v>
      </c>
      <c r="Y586" s="32">
        <v>0</v>
      </c>
      <c r="Z586" s="32">
        <v>0</v>
      </c>
      <c r="AA586" s="32">
        <v>0</v>
      </c>
      <c r="AB586" s="32">
        <v>0</v>
      </c>
      <c r="AC586" s="32">
        <v>46033.65</v>
      </c>
      <c r="AD586" s="32">
        <v>100000</v>
      </c>
      <c r="AE586" s="32">
        <v>0</v>
      </c>
      <c r="AF586" s="35">
        <v>2021</v>
      </c>
      <c r="AG586" s="35">
        <v>2021</v>
      </c>
      <c r="AH586" s="36">
        <v>2021</v>
      </c>
    </row>
    <row r="587" spans="1:46" ht="61.5" x14ac:dyDescent="0.85">
      <c r="A587" s="21">
        <v>1</v>
      </c>
      <c r="B587" s="70">
        <f>SUBTOTAL(103,$A$535:A587)</f>
        <v>53</v>
      </c>
      <c r="C587" s="25" t="s">
        <v>1486</v>
      </c>
      <c r="D587" s="32">
        <f t="shared" si="254"/>
        <v>1335035.1000000001</v>
      </c>
      <c r="E587" s="32">
        <v>0</v>
      </c>
      <c r="F587" s="32">
        <v>0</v>
      </c>
      <c r="G587" s="32">
        <v>0</v>
      </c>
      <c r="H587" s="32">
        <v>0</v>
      </c>
      <c r="I587" s="32">
        <v>0</v>
      </c>
      <c r="J587" s="32">
        <v>0</v>
      </c>
      <c r="K587" s="34">
        <v>0</v>
      </c>
      <c r="L587" s="32">
        <v>0</v>
      </c>
      <c r="M587" s="32">
        <v>272.05</v>
      </c>
      <c r="N587" s="32">
        <v>1246340</v>
      </c>
      <c r="O587" s="32">
        <v>0</v>
      </c>
      <c r="P587" s="32">
        <v>0</v>
      </c>
      <c r="Q587" s="32">
        <v>0</v>
      </c>
      <c r="R587" s="32">
        <v>0</v>
      </c>
      <c r="S587" s="32">
        <v>0</v>
      </c>
      <c r="T587" s="32">
        <v>0</v>
      </c>
      <c r="U587" s="32">
        <v>0</v>
      </c>
      <c r="V587" s="32">
        <v>0</v>
      </c>
      <c r="W587" s="32">
        <v>0</v>
      </c>
      <c r="X587" s="32">
        <v>0</v>
      </c>
      <c r="Y587" s="32">
        <v>0</v>
      </c>
      <c r="Z587" s="32">
        <v>0</v>
      </c>
      <c r="AA587" s="32">
        <v>0</v>
      </c>
      <c r="AB587" s="32">
        <v>0</v>
      </c>
      <c r="AC587" s="32">
        <v>18695.099999999999</v>
      </c>
      <c r="AD587" s="32">
        <v>70000</v>
      </c>
      <c r="AE587" s="32">
        <v>0</v>
      </c>
      <c r="AF587" s="35">
        <v>2021</v>
      </c>
      <c r="AG587" s="35">
        <v>2021</v>
      </c>
      <c r="AH587" s="36">
        <v>2021</v>
      </c>
    </row>
    <row r="588" spans="1:46" ht="61.5" x14ac:dyDescent="0.85">
      <c r="A588" s="21">
        <v>1</v>
      </c>
      <c r="B588" s="70">
        <f>SUBTOTAL(103,$A$535:A588)</f>
        <v>54</v>
      </c>
      <c r="C588" s="25" t="s">
        <v>1487</v>
      </c>
      <c r="D588" s="32">
        <f t="shared" si="254"/>
        <v>4219164.3499999996</v>
      </c>
      <c r="E588" s="32">
        <v>0</v>
      </c>
      <c r="F588" s="32">
        <v>0</v>
      </c>
      <c r="G588" s="32">
        <v>0</v>
      </c>
      <c r="H588" s="32">
        <v>0</v>
      </c>
      <c r="I588" s="32">
        <v>0</v>
      </c>
      <c r="J588" s="32">
        <v>0</v>
      </c>
      <c r="K588" s="34">
        <v>0</v>
      </c>
      <c r="L588" s="32">
        <v>0</v>
      </c>
      <c r="M588" s="32">
        <v>886</v>
      </c>
      <c r="N588" s="32">
        <v>4058290</v>
      </c>
      <c r="O588" s="32">
        <v>0</v>
      </c>
      <c r="P588" s="32">
        <v>0</v>
      </c>
      <c r="Q588" s="32">
        <v>0</v>
      </c>
      <c r="R588" s="32">
        <v>0</v>
      </c>
      <c r="S588" s="32">
        <v>0</v>
      </c>
      <c r="T588" s="32">
        <v>0</v>
      </c>
      <c r="U588" s="32">
        <v>0</v>
      </c>
      <c r="V588" s="32">
        <v>0</v>
      </c>
      <c r="W588" s="32">
        <v>0</v>
      </c>
      <c r="X588" s="32">
        <v>0</v>
      </c>
      <c r="Y588" s="32">
        <v>0</v>
      </c>
      <c r="Z588" s="32">
        <v>0</v>
      </c>
      <c r="AA588" s="32">
        <v>0</v>
      </c>
      <c r="AB588" s="32">
        <v>0</v>
      </c>
      <c r="AC588" s="32">
        <v>60874.35</v>
      </c>
      <c r="AD588" s="32">
        <v>100000</v>
      </c>
      <c r="AE588" s="32">
        <v>0</v>
      </c>
      <c r="AF588" s="35">
        <v>2021</v>
      </c>
      <c r="AG588" s="35">
        <v>2021</v>
      </c>
      <c r="AH588" s="36">
        <v>2021</v>
      </c>
    </row>
    <row r="589" spans="1:46" ht="61.5" x14ac:dyDescent="0.85">
      <c r="A589" s="21">
        <v>1</v>
      </c>
      <c r="B589" s="70">
        <f>SUBTOTAL(103,$A$535:A589)</f>
        <v>55</v>
      </c>
      <c r="C589" s="25" t="s">
        <v>1488</v>
      </c>
      <c r="D589" s="32">
        <f t="shared" si="254"/>
        <v>3028742.06</v>
      </c>
      <c r="E589" s="32">
        <v>0</v>
      </c>
      <c r="F589" s="32">
        <v>0</v>
      </c>
      <c r="G589" s="32">
        <v>0</v>
      </c>
      <c r="H589" s="32">
        <v>0</v>
      </c>
      <c r="I589" s="32">
        <v>0</v>
      </c>
      <c r="J589" s="32">
        <v>0</v>
      </c>
      <c r="K589" s="34">
        <v>0</v>
      </c>
      <c r="L589" s="32">
        <v>0</v>
      </c>
      <c r="M589" s="32">
        <v>630</v>
      </c>
      <c r="N589" s="32">
        <v>2885460.19</v>
      </c>
      <c r="O589" s="32">
        <v>0</v>
      </c>
      <c r="P589" s="32">
        <v>0</v>
      </c>
      <c r="Q589" s="32">
        <v>0</v>
      </c>
      <c r="R589" s="32">
        <v>0</v>
      </c>
      <c r="S589" s="32">
        <v>0</v>
      </c>
      <c r="T589" s="32">
        <v>0</v>
      </c>
      <c r="U589" s="32">
        <v>0</v>
      </c>
      <c r="V589" s="32">
        <v>0</v>
      </c>
      <c r="W589" s="32">
        <v>0</v>
      </c>
      <c r="X589" s="32">
        <v>0</v>
      </c>
      <c r="Y589" s="32">
        <v>0</v>
      </c>
      <c r="Z589" s="32">
        <v>0</v>
      </c>
      <c r="AA589" s="32">
        <v>0</v>
      </c>
      <c r="AB589" s="32">
        <v>0</v>
      </c>
      <c r="AC589" s="32">
        <v>43281.87</v>
      </c>
      <c r="AD589" s="32">
        <v>100000</v>
      </c>
      <c r="AE589" s="32">
        <v>0</v>
      </c>
      <c r="AF589" s="35">
        <v>2021</v>
      </c>
      <c r="AG589" s="35">
        <v>2021</v>
      </c>
      <c r="AH589" s="36">
        <v>2021</v>
      </c>
    </row>
    <row r="590" spans="1:46" ht="61.5" x14ac:dyDescent="0.85">
      <c r="A590" s="21">
        <v>1</v>
      </c>
      <c r="B590" s="70">
        <f>SUBTOTAL(103,$A$535:A590)</f>
        <v>56</v>
      </c>
      <c r="C590" s="25" t="s">
        <v>597</v>
      </c>
      <c r="D590" s="32">
        <f t="shared" si="254"/>
        <v>80000</v>
      </c>
      <c r="E590" s="32">
        <v>0</v>
      </c>
      <c r="F590" s="32">
        <v>0</v>
      </c>
      <c r="G590" s="32">
        <v>0</v>
      </c>
      <c r="H590" s="32">
        <v>0</v>
      </c>
      <c r="I590" s="32">
        <v>0</v>
      </c>
      <c r="J590" s="32">
        <v>0</v>
      </c>
      <c r="K590" s="34">
        <v>0</v>
      </c>
      <c r="L590" s="32">
        <v>0</v>
      </c>
      <c r="M590" s="32">
        <v>0</v>
      </c>
      <c r="N590" s="32">
        <v>0</v>
      </c>
      <c r="O590" s="32">
        <v>0</v>
      </c>
      <c r="P590" s="32">
        <v>0</v>
      </c>
      <c r="Q590" s="32">
        <v>0</v>
      </c>
      <c r="R590" s="32">
        <v>0</v>
      </c>
      <c r="S590" s="32">
        <v>0</v>
      </c>
      <c r="T590" s="32">
        <v>0</v>
      </c>
      <c r="U590" s="32">
        <v>0</v>
      </c>
      <c r="V590" s="32">
        <v>0</v>
      </c>
      <c r="W590" s="32">
        <v>0</v>
      </c>
      <c r="X590" s="32">
        <v>0</v>
      </c>
      <c r="Y590" s="32">
        <v>0</v>
      </c>
      <c r="Z590" s="32">
        <v>0</v>
      </c>
      <c r="AA590" s="32">
        <v>0</v>
      </c>
      <c r="AB590" s="32">
        <v>0</v>
      </c>
      <c r="AC590" s="32">
        <f t="shared" si="268"/>
        <v>0</v>
      </c>
      <c r="AD590" s="32">
        <v>80000</v>
      </c>
      <c r="AE590" s="32">
        <v>0</v>
      </c>
      <c r="AF590" s="35">
        <v>2021</v>
      </c>
      <c r="AG590" s="35" t="s">
        <v>275</v>
      </c>
      <c r="AH590" s="36" t="s">
        <v>275</v>
      </c>
    </row>
    <row r="591" spans="1:46" ht="61.5" x14ac:dyDescent="0.85">
      <c r="A591" s="21">
        <v>1</v>
      </c>
      <c r="B591" s="70">
        <f>SUBTOTAL(103,$A$535:A591)</f>
        <v>57</v>
      </c>
      <c r="C591" s="25" t="s">
        <v>598</v>
      </c>
      <c r="D591" s="32">
        <f t="shared" si="254"/>
        <v>70000</v>
      </c>
      <c r="E591" s="32">
        <v>0</v>
      </c>
      <c r="F591" s="32">
        <v>0</v>
      </c>
      <c r="G591" s="32">
        <v>0</v>
      </c>
      <c r="H591" s="32">
        <v>0</v>
      </c>
      <c r="I591" s="32">
        <v>0</v>
      </c>
      <c r="J591" s="32">
        <v>0</v>
      </c>
      <c r="K591" s="34">
        <v>0</v>
      </c>
      <c r="L591" s="32">
        <v>0</v>
      </c>
      <c r="M591" s="32">
        <v>0</v>
      </c>
      <c r="N591" s="32">
        <v>0</v>
      </c>
      <c r="O591" s="32">
        <v>0</v>
      </c>
      <c r="P591" s="32">
        <v>0</v>
      </c>
      <c r="Q591" s="32">
        <v>0</v>
      </c>
      <c r="R591" s="32">
        <v>0</v>
      </c>
      <c r="S591" s="32">
        <v>0</v>
      </c>
      <c r="T591" s="32">
        <v>0</v>
      </c>
      <c r="U591" s="32">
        <v>0</v>
      </c>
      <c r="V591" s="32">
        <v>0</v>
      </c>
      <c r="W591" s="32">
        <v>0</v>
      </c>
      <c r="X591" s="32">
        <v>0</v>
      </c>
      <c r="Y591" s="32">
        <v>0</v>
      </c>
      <c r="Z591" s="32">
        <v>0</v>
      </c>
      <c r="AA591" s="32">
        <v>0</v>
      </c>
      <c r="AB591" s="32">
        <v>0</v>
      </c>
      <c r="AC591" s="32">
        <f t="shared" si="268"/>
        <v>0</v>
      </c>
      <c r="AD591" s="32">
        <v>70000</v>
      </c>
      <c r="AE591" s="32">
        <v>0</v>
      </c>
      <c r="AF591" s="35">
        <v>2021</v>
      </c>
      <c r="AG591" s="35" t="s">
        <v>275</v>
      </c>
      <c r="AH591" s="36" t="s">
        <v>275</v>
      </c>
    </row>
    <row r="592" spans="1:46" ht="61.5" x14ac:dyDescent="0.85">
      <c r="A592" s="21">
        <v>1</v>
      </c>
      <c r="B592" s="70">
        <f>SUBTOTAL(103,$A$535:A592)</f>
        <v>58</v>
      </c>
      <c r="C592" s="25" t="s">
        <v>1143</v>
      </c>
      <c r="D592" s="32">
        <f t="shared" si="254"/>
        <v>80000</v>
      </c>
      <c r="E592" s="32">
        <v>0</v>
      </c>
      <c r="F592" s="32">
        <v>0</v>
      </c>
      <c r="G592" s="32">
        <v>0</v>
      </c>
      <c r="H592" s="32">
        <v>0</v>
      </c>
      <c r="I592" s="32">
        <v>0</v>
      </c>
      <c r="J592" s="32">
        <v>0</v>
      </c>
      <c r="K592" s="34">
        <v>0</v>
      </c>
      <c r="L592" s="32">
        <v>0</v>
      </c>
      <c r="M592" s="32">
        <v>0</v>
      </c>
      <c r="N592" s="32">
        <v>0</v>
      </c>
      <c r="O592" s="32">
        <v>0</v>
      </c>
      <c r="P592" s="32">
        <v>0</v>
      </c>
      <c r="Q592" s="32">
        <v>0</v>
      </c>
      <c r="R592" s="32">
        <v>0</v>
      </c>
      <c r="S592" s="32">
        <v>0</v>
      </c>
      <c r="T592" s="32">
        <v>0</v>
      </c>
      <c r="U592" s="32">
        <v>0</v>
      </c>
      <c r="V592" s="32">
        <v>0</v>
      </c>
      <c r="W592" s="32">
        <v>0</v>
      </c>
      <c r="X592" s="32">
        <v>0</v>
      </c>
      <c r="Y592" s="32">
        <v>0</v>
      </c>
      <c r="Z592" s="32">
        <v>0</v>
      </c>
      <c r="AA592" s="32">
        <v>0</v>
      </c>
      <c r="AB592" s="32">
        <v>0</v>
      </c>
      <c r="AC592" s="32">
        <f t="shared" si="268"/>
        <v>0</v>
      </c>
      <c r="AD592" s="32">
        <v>80000</v>
      </c>
      <c r="AE592" s="32">
        <v>0</v>
      </c>
      <c r="AF592" s="35">
        <v>2021</v>
      </c>
      <c r="AG592" s="35" t="s">
        <v>275</v>
      </c>
      <c r="AH592" s="36" t="s">
        <v>275</v>
      </c>
    </row>
    <row r="593" spans="1:34" ht="61.5" x14ac:dyDescent="0.85">
      <c r="A593" s="21">
        <v>1</v>
      </c>
      <c r="B593" s="70">
        <f>SUBTOTAL(103,$A$535:A593)</f>
        <v>59</v>
      </c>
      <c r="C593" s="25" t="s">
        <v>599</v>
      </c>
      <c r="D593" s="32">
        <f t="shared" si="254"/>
        <v>100000</v>
      </c>
      <c r="E593" s="32">
        <v>0</v>
      </c>
      <c r="F593" s="32">
        <v>0</v>
      </c>
      <c r="G593" s="32">
        <v>0</v>
      </c>
      <c r="H593" s="32">
        <v>0</v>
      </c>
      <c r="I593" s="32">
        <v>0</v>
      </c>
      <c r="J593" s="32">
        <v>0</v>
      </c>
      <c r="K593" s="34">
        <v>0</v>
      </c>
      <c r="L593" s="32">
        <v>0</v>
      </c>
      <c r="M593" s="32">
        <v>0</v>
      </c>
      <c r="N593" s="32">
        <v>0</v>
      </c>
      <c r="O593" s="32">
        <v>0</v>
      </c>
      <c r="P593" s="32">
        <v>0</v>
      </c>
      <c r="Q593" s="32">
        <v>0</v>
      </c>
      <c r="R593" s="32">
        <v>0</v>
      </c>
      <c r="S593" s="32">
        <v>0</v>
      </c>
      <c r="T593" s="32">
        <v>0</v>
      </c>
      <c r="U593" s="32">
        <v>0</v>
      </c>
      <c r="V593" s="32">
        <v>0</v>
      </c>
      <c r="W593" s="32">
        <v>0</v>
      </c>
      <c r="X593" s="32">
        <v>0</v>
      </c>
      <c r="Y593" s="32">
        <v>0</v>
      </c>
      <c r="Z593" s="32">
        <v>0</v>
      </c>
      <c r="AA593" s="32">
        <v>0</v>
      </c>
      <c r="AB593" s="32">
        <v>0</v>
      </c>
      <c r="AC593" s="32">
        <f t="shared" si="268"/>
        <v>0</v>
      </c>
      <c r="AD593" s="32">
        <v>100000</v>
      </c>
      <c r="AE593" s="32">
        <v>0</v>
      </c>
      <c r="AF593" s="35">
        <v>2021</v>
      </c>
      <c r="AG593" s="35" t="s">
        <v>275</v>
      </c>
      <c r="AH593" s="36" t="s">
        <v>275</v>
      </c>
    </row>
    <row r="594" spans="1:34" ht="61.5" x14ac:dyDescent="0.85">
      <c r="A594" s="21">
        <v>1</v>
      </c>
      <c r="B594" s="70">
        <f>SUBTOTAL(103,$A$535:A594)</f>
        <v>60</v>
      </c>
      <c r="C594" s="25" t="s">
        <v>600</v>
      </c>
      <c r="D594" s="32">
        <f t="shared" si="254"/>
        <v>70000</v>
      </c>
      <c r="E594" s="32">
        <v>0</v>
      </c>
      <c r="F594" s="32">
        <v>0</v>
      </c>
      <c r="G594" s="32">
        <v>0</v>
      </c>
      <c r="H594" s="32">
        <v>0</v>
      </c>
      <c r="I594" s="32">
        <v>0</v>
      </c>
      <c r="J594" s="32">
        <v>0</v>
      </c>
      <c r="K594" s="34">
        <v>0</v>
      </c>
      <c r="L594" s="32">
        <v>0</v>
      </c>
      <c r="M594" s="32">
        <v>0</v>
      </c>
      <c r="N594" s="32">
        <v>0</v>
      </c>
      <c r="O594" s="32">
        <v>0</v>
      </c>
      <c r="P594" s="32">
        <v>0</v>
      </c>
      <c r="Q594" s="32">
        <v>0</v>
      </c>
      <c r="R594" s="32">
        <v>0</v>
      </c>
      <c r="S594" s="32">
        <v>0</v>
      </c>
      <c r="T594" s="32">
        <v>0</v>
      </c>
      <c r="U594" s="32">
        <v>0</v>
      </c>
      <c r="V594" s="32">
        <v>0</v>
      </c>
      <c r="W594" s="32">
        <v>0</v>
      </c>
      <c r="X594" s="32">
        <v>0</v>
      </c>
      <c r="Y594" s="32">
        <v>0</v>
      </c>
      <c r="Z594" s="32">
        <v>0</v>
      </c>
      <c r="AA594" s="32">
        <v>0</v>
      </c>
      <c r="AB594" s="32">
        <v>0</v>
      </c>
      <c r="AC594" s="32">
        <f t="shared" si="268"/>
        <v>0</v>
      </c>
      <c r="AD594" s="32">
        <v>70000</v>
      </c>
      <c r="AE594" s="32">
        <v>0</v>
      </c>
      <c r="AF594" s="35">
        <v>2021</v>
      </c>
      <c r="AG594" s="35" t="s">
        <v>275</v>
      </c>
      <c r="AH594" s="36" t="s">
        <v>275</v>
      </c>
    </row>
    <row r="595" spans="1:34" ht="61.5" x14ac:dyDescent="0.85">
      <c r="A595" s="21">
        <v>1</v>
      </c>
      <c r="B595" s="70">
        <f>SUBTOTAL(103,$A$535:A595)</f>
        <v>61</v>
      </c>
      <c r="C595" s="25" t="s">
        <v>601</v>
      </c>
      <c r="D595" s="32">
        <f t="shared" si="254"/>
        <v>100000</v>
      </c>
      <c r="E595" s="32">
        <v>0</v>
      </c>
      <c r="F595" s="32">
        <v>0</v>
      </c>
      <c r="G595" s="32">
        <v>0</v>
      </c>
      <c r="H595" s="32">
        <v>0</v>
      </c>
      <c r="I595" s="32">
        <v>0</v>
      </c>
      <c r="J595" s="32">
        <v>0</v>
      </c>
      <c r="K595" s="34">
        <v>0</v>
      </c>
      <c r="L595" s="32">
        <v>0</v>
      </c>
      <c r="M595" s="32">
        <v>0</v>
      </c>
      <c r="N595" s="32">
        <v>0</v>
      </c>
      <c r="O595" s="32">
        <v>0</v>
      </c>
      <c r="P595" s="32">
        <v>0</v>
      </c>
      <c r="Q595" s="32">
        <v>0</v>
      </c>
      <c r="R595" s="32">
        <v>0</v>
      </c>
      <c r="S595" s="32">
        <v>0</v>
      </c>
      <c r="T595" s="32">
        <v>0</v>
      </c>
      <c r="U595" s="32">
        <v>0</v>
      </c>
      <c r="V595" s="32">
        <v>0</v>
      </c>
      <c r="W595" s="32">
        <v>0</v>
      </c>
      <c r="X595" s="32">
        <v>0</v>
      </c>
      <c r="Y595" s="32">
        <v>0</v>
      </c>
      <c r="Z595" s="32">
        <v>0</v>
      </c>
      <c r="AA595" s="32">
        <v>0</v>
      </c>
      <c r="AB595" s="32">
        <v>0</v>
      </c>
      <c r="AC595" s="32">
        <f t="shared" si="268"/>
        <v>0</v>
      </c>
      <c r="AD595" s="32">
        <v>100000</v>
      </c>
      <c r="AE595" s="32">
        <v>0</v>
      </c>
      <c r="AF595" s="35">
        <v>2021</v>
      </c>
      <c r="AG595" s="35" t="s">
        <v>275</v>
      </c>
      <c r="AH595" s="36" t="s">
        <v>275</v>
      </c>
    </row>
    <row r="596" spans="1:34" ht="61.5" x14ac:dyDescent="0.85">
      <c r="A596" s="21">
        <v>1</v>
      </c>
      <c r="B596" s="70">
        <f>SUBTOTAL(103,$A$535:A596)</f>
        <v>62</v>
      </c>
      <c r="C596" s="25" t="s">
        <v>602</v>
      </c>
      <c r="D596" s="32">
        <f t="shared" si="254"/>
        <v>100000</v>
      </c>
      <c r="E596" s="32">
        <v>0</v>
      </c>
      <c r="F596" s="32">
        <v>0</v>
      </c>
      <c r="G596" s="32">
        <v>0</v>
      </c>
      <c r="H596" s="32">
        <v>0</v>
      </c>
      <c r="I596" s="32">
        <v>0</v>
      </c>
      <c r="J596" s="32">
        <v>0</v>
      </c>
      <c r="K596" s="34">
        <v>0</v>
      </c>
      <c r="L596" s="32">
        <v>0</v>
      </c>
      <c r="M596" s="32">
        <v>0</v>
      </c>
      <c r="N596" s="32">
        <v>0</v>
      </c>
      <c r="O596" s="32">
        <v>0</v>
      </c>
      <c r="P596" s="32">
        <v>0</v>
      </c>
      <c r="Q596" s="32">
        <v>0</v>
      </c>
      <c r="R596" s="32">
        <v>0</v>
      </c>
      <c r="S596" s="32">
        <v>0</v>
      </c>
      <c r="T596" s="32">
        <v>0</v>
      </c>
      <c r="U596" s="32">
        <v>0</v>
      </c>
      <c r="V596" s="32">
        <v>0</v>
      </c>
      <c r="W596" s="32">
        <v>0</v>
      </c>
      <c r="X596" s="32">
        <v>0</v>
      </c>
      <c r="Y596" s="32">
        <v>0</v>
      </c>
      <c r="Z596" s="32">
        <v>0</v>
      </c>
      <c r="AA596" s="32">
        <v>0</v>
      </c>
      <c r="AB596" s="32">
        <v>0</v>
      </c>
      <c r="AC596" s="32">
        <f t="shared" si="268"/>
        <v>0</v>
      </c>
      <c r="AD596" s="32">
        <v>100000</v>
      </c>
      <c r="AE596" s="32">
        <v>0</v>
      </c>
      <c r="AF596" s="35">
        <v>2021</v>
      </c>
      <c r="AG596" s="35" t="s">
        <v>275</v>
      </c>
      <c r="AH596" s="36" t="s">
        <v>275</v>
      </c>
    </row>
    <row r="597" spans="1:34" ht="61.5" x14ac:dyDescent="0.85">
      <c r="A597" s="21">
        <v>1</v>
      </c>
      <c r="B597" s="70">
        <f>SUBTOTAL(103,$A$535:A597)</f>
        <v>63</v>
      </c>
      <c r="C597" s="25" t="s">
        <v>603</v>
      </c>
      <c r="D597" s="32">
        <f t="shared" si="254"/>
        <v>100000</v>
      </c>
      <c r="E597" s="32">
        <v>0</v>
      </c>
      <c r="F597" s="32">
        <v>0</v>
      </c>
      <c r="G597" s="32">
        <v>0</v>
      </c>
      <c r="H597" s="32">
        <v>0</v>
      </c>
      <c r="I597" s="32">
        <v>0</v>
      </c>
      <c r="J597" s="32">
        <v>0</v>
      </c>
      <c r="K597" s="34">
        <v>0</v>
      </c>
      <c r="L597" s="32">
        <v>0</v>
      </c>
      <c r="M597" s="32">
        <v>0</v>
      </c>
      <c r="N597" s="32">
        <v>0</v>
      </c>
      <c r="O597" s="32">
        <v>0</v>
      </c>
      <c r="P597" s="32">
        <v>0</v>
      </c>
      <c r="Q597" s="32">
        <v>0</v>
      </c>
      <c r="R597" s="32">
        <v>0</v>
      </c>
      <c r="S597" s="32">
        <v>0</v>
      </c>
      <c r="T597" s="32">
        <v>0</v>
      </c>
      <c r="U597" s="32">
        <v>0</v>
      </c>
      <c r="V597" s="32">
        <v>0</v>
      </c>
      <c r="W597" s="32">
        <v>0</v>
      </c>
      <c r="X597" s="32">
        <v>0</v>
      </c>
      <c r="Y597" s="32">
        <v>0</v>
      </c>
      <c r="Z597" s="32">
        <v>0</v>
      </c>
      <c r="AA597" s="32">
        <v>0</v>
      </c>
      <c r="AB597" s="32">
        <v>0</v>
      </c>
      <c r="AC597" s="32">
        <f t="shared" si="268"/>
        <v>0</v>
      </c>
      <c r="AD597" s="32">
        <v>100000</v>
      </c>
      <c r="AE597" s="32">
        <v>0</v>
      </c>
      <c r="AF597" s="35">
        <v>2021</v>
      </c>
      <c r="AG597" s="35" t="s">
        <v>275</v>
      </c>
      <c r="AH597" s="36" t="s">
        <v>275</v>
      </c>
    </row>
    <row r="598" spans="1:34" ht="61.5" x14ac:dyDescent="0.85">
      <c r="A598" s="21">
        <v>1</v>
      </c>
      <c r="B598" s="70">
        <f>SUBTOTAL(103,$A$535:A598)</f>
        <v>64</v>
      </c>
      <c r="C598" s="25" t="s">
        <v>604</v>
      </c>
      <c r="D598" s="32">
        <f t="shared" si="254"/>
        <v>100000</v>
      </c>
      <c r="E598" s="32">
        <v>0</v>
      </c>
      <c r="F598" s="32">
        <v>0</v>
      </c>
      <c r="G598" s="32">
        <v>0</v>
      </c>
      <c r="H598" s="32">
        <v>0</v>
      </c>
      <c r="I598" s="32">
        <v>0</v>
      </c>
      <c r="J598" s="32">
        <v>0</v>
      </c>
      <c r="K598" s="34">
        <v>0</v>
      </c>
      <c r="L598" s="32">
        <v>0</v>
      </c>
      <c r="M598" s="32">
        <v>0</v>
      </c>
      <c r="N598" s="32">
        <v>0</v>
      </c>
      <c r="O598" s="32">
        <v>0</v>
      </c>
      <c r="P598" s="32">
        <v>0</v>
      </c>
      <c r="Q598" s="32">
        <v>0</v>
      </c>
      <c r="R598" s="32">
        <v>0</v>
      </c>
      <c r="S598" s="32">
        <v>0</v>
      </c>
      <c r="T598" s="32">
        <v>0</v>
      </c>
      <c r="U598" s="32">
        <v>0</v>
      </c>
      <c r="V598" s="32">
        <v>0</v>
      </c>
      <c r="W598" s="32">
        <v>0</v>
      </c>
      <c r="X598" s="32">
        <v>0</v>
      </c>
      <c r="Y598" s="32">
        <v>0</v>
      </c>
      <c r="Z598" s="32">
        <v>0</v>
      </c>
      <c r="AA598" s="32">
        <v>0</v>
      </c>
      <c r="AB598" s="32">
        <v>0</v>
      </c>
      <c r="AC598" s="32">
        <f t="shared" si="268"/>
        <v>0</v>
      </c>
      <c r="AD598" s="32">
        <v>100000</v>
      </c>
      <c r="AE598" s="32">
        <v>0</v>
      </c>
      <c r="AF598" s="35">
        <v>2021</v>
      </c>
      <c r="AG598" s="35" t="s">
        <v>275</v>
      </c>
      <c r="AH598" s="36" t="s">
        <v>275</v>
      </c>
    </row>
    <row r="599" spans="1:34" ht="61.5" x14ac:dyDescent="0.85">
      <c r="A599" s="21">
        <v>1</v>
      </c>
      <c r="B599" s="70">
        <f>SUBTOTAL(103,$A$535:A599)</f>
        <v>65</v>
      </c>
      <c r="C599" s="25" t="s">
        <v>605</v>
      </c>
      <c r="D599" s="32">
        <f t="shared" si="254"/>
        <v>100000</v>
      </c>
      <c r="E599" s="32">
        <v>0</v>
      </c>
      <c r="F599" s="32">
        <v>0</v>
      </c>
      <c r="G599" s="32">
        <v>0</v>
      </c>
      <c r="H599" s="32">
        <v>0</v>
      </c>
      <c r="I599" s="32">
        <v>0</v>
      </c>
      <c r="J599" s="32">
        <v>0</v>
      </c>
      <c r="K599" s="34">
        <v>0</v>
      </c>
      <c r="L599" s="32">
        <v>0</v>
      </c>
      <c r="M599" s="32">
        <v>0</v>
      </c>
      <c r="N599" s="32">
        <v>0</v>
      </c>
      <c r="O599" s="32">
        <v>0</v>
      </c>
      <c r="P599" s="32">
        <v>0</v>
      </c>
      <c r="Q599" s="32">
        <v>0</v>
      </c>
      <c r="R599" s="32">
        <v>0</v>
      </c>
      <c r="S599" s="32">
        <v>0</v>
      </c>
      <c r="T599" s="32">
        <v>0</v>
      </c>
      <c r="U599" s="32">
        <v>0</v>
      </c>
      <c r="V599" s="32">
        <v>0</v>
      </c>
      <c r="W599" s="32">
        <v>0</v>
      </c>
      <c r="X599" s="32">
        <v>0</v>
      </c>
      <c r="Y599" s="32">
        <v>0</v>
      </c>
      <c r="Z599" s="32">
        <v>0</v>
      </c>
      <c r="AA599" s="32">
        <v>0</v>
      </c>
      <c r="AB599" s="32">
        <v>0</v>
      </c>
      <c r="AC599" s="32">
        <f t="shared" si="268"/>
        <v>0</v>
      </c>
      <c r="AD599" s="32">
        <v>100000</v>
      </c>
      <c r="AE599" s="32">
        <v>0</v>
      </c>
      <c r="AF599" s="35">
        <v>2021</v>
      </c>
      <c r="AG599" s="35" t="s">
        <v>275</v>
      </c>
      <c r="AH599" s="36" t="s">
        <v>275</v>
      </c>
    </row>
    <row r="600" spans="1:34" ht="61.5" x14ac:dyDescent="0.85">
      <c r="A600" s="21">
        <v>1</v>
      </c>
      <c r="B600" s="70">
        <f>SUBTOTAL(103,$A$535:A600)</f>
        <v>66</v>
      </c>
      <c r="C600" s="25" t="s">
        <v>606</v>
      </c>
      <c r="D600" s="32">
        <f t="shared" si="254"/>
        <v>100000</v>
      </c>
      <c r="E600" s="32">
        <v>0</v>
      </c>
      <c r="F600" s="32">
        <v>0</v>
      </c>
      <c r="G600" s="32">
        <v>0</v>
      </c>
      <c r="H600" s="32">
        <v>0</v>
      </c>
      <c r="I600" s="32">
        <v>0</v>
      </c>
      <c r="J600" s="32">
        <v>0</v>
      </c>
      <c r="K600" s="34">
        <v>0</v>
      </c>
      <c r="L600" s="32">
        <v>0</v>
      </c>
      <c r="M600" s="32">
        <v>0</v>
      </c>
      <c r="N600" s="32">
        <v>0</v>
      </c>
      <c r="O600" s="32">
        <v>0</v>
      </c>
      <c r="P600" s="32">
        <v>0</v>
      </c>
      <c r="Q600" s="32">
        <v>0</v>
      </c>
      <c r="R600" s="32">
        <v>0</v>
      </c>
      <c r="S600" s="32">
        <v>0</v>
      </c>
      <c r="T600" s="32">
        <v>0</v>
      </c>
      <c r="U600" s="32">
        <v>0</v>
      </c>
      <c r="V600" s="32">
        <v>0</v>
      </c>
      <c r="W600" s="32">
        <v>0</v>
      </c>
      <c r="X600" s="32">
        <v>0</v>
      </c>
      <c r="Y600" s="32">
        <v>0</v>
      </c>
      <c r="Z600" s="32">
        <v>0</v>
      </c>
      <c r="AA600" s="32">
        <v>0</v>
      </c>
      <c r="AB600" s="32">
        <v>0</v>
      </c>
      <c r="AC600" s="32">
        <f t="shared" si="268"/>
        <v>0</v>
      </c>
      <c r="AD600" s="32">
        <v>100000</v>
      </c>
      <c r="AE600" s="32">
        <v>0</v>
      </c>
      <c r="AF600" s="35">
        <v>2021</v>
      </c>
      <c r="AG600" s="35" t="s">
        <v>275</v>
      </c>
      <c r="AH600" s="36" t="s">
        <v>275</v>
      </c>
    </row>
    <row r="601" spans="1:34" ht="61.5" x14ac:dyDescent="0.85">
      <c r="A601" s="21">
        <v>1</v>
      </c>
      <c r="B601" s="70">
        <f>SUBTOTAL(103,$A$535:A601)</f>
        <v>67</v>
      </c>
      <c r="C601" s="25" t="s">
        <v>607</v>
      </c>
      <c r="D601" s="32">
        <f t="shared" si="254"/>
        <v>100000</v>
      </c>
      <c r="E601" s="32">
        <v>0</v>
      </c>
      <c r="F601" s="32">
        <v>0</v>
      </c>
      <c r="G601" s="32">
        <v>0</v>
      </c>
      <c r="H601" s="32">
        <v>0</v>
      </c>
      <c r="I601" s="32">
        <v>0</v>
      </c>
      <c r="J601" s="32">
        <v>0</v>
      </c>
      <c r="K601" s="34">
        <v>0</v>
      </c>
      <c r="L601" s="32">
        <v>0</v>
      </c>
      <c r="M601" s="32">
        <v>0</v>
      </c>
      <c r="N601" s="32">
        <v>0</v>
      </c>
      <c r="O601" s="32">
        <v>0</v>
      </c>
      <c r="P601" s="32">
        <v>0</v>
      </c>
      <c r="Q601" s="32">
        <v>0</v>
      </c>
      <c r="R601" s="32">
        <v>0</v>
      </c>
      <c r="S601" s="32">
        <v>0</v>
      </c>
      <c r="T601" s="32">
        <v>0</v>
      </c>
      <c r="U601" s="32">
        <v>0</v>
      </c>
      <c r="V601" s="32">
        <v>0</v>
      </c>
      <c r="W601" s="32">
        <v>0</v>
      </c>
      <c r="X601" s="32">
        <v>0</v>
      </c>
      <c r="Y601" s="32">
        <v>0</v>
      </c>
      <c r="Z601" s="32">
        <v>0</v>
      </c>
      <c r="AA601" s="32">
        <v>0</v>
      </c>
      <c r="AB601" s="32">
        <v>0</v>
      </c>
      <c r="AC601" s="32">
        <f t="shared" si="268"/>
        <v>0</v>
      </c>
      <c r="AD601" s="32">
        <v>100000</v>
      </c>
      <c r="AE601" s="32">
        <v>0</v>
      </c>
      <c r="AF601" s="35">
        <v>2021</v>
      </c>
      <c r="AG601" s="35" t="s">
        <v>275</v>
      </c>
      <c r="AH601" s="36" t="s">
        <v>275</v>
      </c>
    </row>
    <row r="602" spans="1:34" ht="61.5" x14ac:dyDescent="0.85">
      <c r="A602" s="21">
        <v>1</v>
      </c>
      <c r="B602" s="70">
        <f>SUBTOTAL(103,$A$535:A602)</f>
        <v>68</v>
      </c>
      <c r="C602" s="25" t="s">
        <v>608</v>
      </c>
      <c r="D602" s="32">
        <f t="shared" si="254"/>
        <v>100000</v>
      </c>
      <c r="E602" s="32">
        <v>0</v>
      </c>
      <c r="F602" s="32">
        <v>0</v>
      </c>
      <c r="G602" s="32">
        <v>0</v>
      </c>
      <c r="H602" s="32">
        <v>0</v>
      </c>
      <c r="I602" s="32">
        <v>0</v>
      </c>
      <c r="J602" s="32">
        <v>0</v>
      </c>
      <c r="K602" s="34">
        <v>0</v>
      </c>
      <c r="L602" s="32">
        <v>0</v>
      </c>
      <c r="M602" s="32">
        <v>0</v>
      </c>
      <c r="N602" s="32">
        <v>0</v>
      </c>
      <c r="O602" s="32">
        <v>0</v>
      </c>
      <c r="P602" s="32">
        <v>0</v>
      </c>
      <c r="Q602" s="32">
        <v>0</v>
      </c>
      <c r="R602" s="32">
        <v>0</v>
      </c>
      <c r="S602" s="32">
        <v>0</v>
      </c>
      <c r="T602" s="32">
        <v>0</v>
      </c>
      <c r="U602" s="32">
        <v>0</v>
      </c>
      <c r="V602" s="32">
        <v>0</v>
      </c>
      <c r="W602" s="32">
        <v>0</v>
      </c>
      <c r="X602" s="32">
        <v>0</v>
      </c>
      <c r="Y602" s="32">
        <v>0</v>
      </c>
      <c r="Z602" s="32">
        <v>0</v>
      </c>
      <c r="AA602" s="32">
        <v>0</v>
      </c>
      <c r="AB602" s="32">
        <v>0</v>
      </c>
      <c r="AC602" s="32">
        <f t="shared" si="268"/>
        <v>0</v>
      </c>
      <c r="AD602" s="32">
        <v>100000</v>
      </c>
      <c r="AE602" s="32">
        <v>0</v>
      </c>
      <c r="AF602" s="35">
        <v>2021</v>
      </c>
      <c r="AG602" s="35" t="s">
        <v>275</v>
      </c>
      <c r="AH602" s="36" t="s">
        <v>275</v>
      </c>
    </row>
    <row r="603" spans="1:34" ht="61.5" x14ac:dyDescent="0.85">
      <c r="A603" s="21">
        <v>1</v>
      </c>
      <c r="B603" s="70">
        <f>SUBTOTAL(103,$A$535:A603)</f>
        <v>69</v>
      </c>
      <c r="C603" s="25" t="s">
        <v>609</v>
      </c>
      <c r="D603" s="32">
        <f t="shared" si="254"/>
        <v>100000</v>
      </c>
      <c r="E603" s="32">
        <v>0</v>
      </c>
      <c r="F603" s="32">
        <v>0</v>
      </c>
      <c r="G603" s="32">
        <v>0</v>
      </c>
      <c r="H603" s="32">
        <v>0</v>
      </c>
      <c r="I603" s="32">
        <v>0</v>
      </c>
      <c r="J603" s="32">
        <v>0</v>
      </c>
      <c r="K603" s="34">
        <v>0</v>
      </c>
      <c r="L603" s="32">
        <v>0</v>
      </c>
      <c r="M603" s="32">
        <v>0</v>
      </c>
      <c r="N603" s="32">
        <v>0</v>
      </c>
      <c r="O603" s="32">
        <v>0</v>
      </c>
      <c r="P603" s="32">
        <v>0</v>
      </c>
      <c r="Q603" s="32">
        <v>0</v>
      </c>
      <c r="R603" s="32">
        <v>0</v>
      </c>
      <c r="S603" s="32">
        <v>0</v>
      </c>
      <c r="T603" s="32">
        <v>0</v>
      </c>
      <c r="U603" s="32">
        <v>0</v>
      </c>
      <c r="V603" s="32">
        <v>0</v>
      </c>
      <c r="W603" s="32">
        <v>0</v>
      </c>
      <c r="X603" s="32">
        <v>0</v>
      </c>
      <c r="Y603" s="32">
        <v>0</v>
      </c>
      <c r="Z603" s="32">
        <v>0</v>
      </c>
      <c r="AA603" s="32">
        <v>0</v>
      </c>
      <c r="AB603" s="32">
        <v>0</v>
      </c>
      <c r="AC603" s="32">
        <f t="shared" si="268"/>
        <v>0</v>
      </c>
      <c r="AD603" s="32">
        <v>100000</v>
      </c>
      <c r="AE603" s="32">
        <v>0</v>
      </c>
      <c r="AF603" s="35">
        <v>2021</v>
      </c>
      <c r="AG603" s="35" t="s">
        <v>275</v>
      </c>
      <c r="AH603" s="36" t="s">
        <v>275</v>
      </c>
    </row>
    <row r="604" spans="1:34" ht="61.5" x14ac:dyDescent="0.85">
      <c r="A604" s="21">
        <v>1</v>
      </c>
      <c r="B604" s="70">
        <f>SUBTOTAL(103,$A$535:A604)</f>
        <v>70</v>
      </c>
      <c r="C604" s="25" t="s">
        <v>610</v>
      </c>
      <c r="D604" s="32">
        <f t="shared" si="254"/>
        <v>99900</v>
      </c>
      <c r="E604" s="32">
        <v>0</v>
      </c>
      <c r="F604" s="32">
        <v>0</v>
      </c>
      <c r="G604" s="32">
        <v>0</v>
      </c>
      <c r="H604" s="32">
        <v>0</v>
      </c>
      <c r="I604" s="32">
        <v>0</v>
      </c>
      <c r="J604" s="32">
        <v>0</v>
      </c>
      <c r="K604" s="34">
        <v>0</v>
      </c>
      <c r="L604" s="32">
        <v>0</v>
      </c>
      <c r="M604" s="32">
        <v>0</v>
      </c>
      <c r="N604" s="32">
        <v>0</v>
      </c>
      <c r="O604" s="32">
        <v>0</v>
      </c>
      <c r="P604" s="32">
        <v>0</v>
      </c>
      <c r="Q604" s="32">
        <v>0</v>
      </c>
      <c r="R604" s="32">
        <v>0</v>
      </c>
      <c r="S604" s="32">
        <v>0</v>
      </c>
      <c r="T604" s="32">
        <v>0</v>
      </c>
      <c r="U604" s="32">
        <v>0</v>
      </c>
      <c r="V604" s="32">
        <v>0</v>
      </c>
      <c r="W604" s="32">
        <v>0</v>
      </c>
      <c r="X604" s="32">
        <v>0</v>
      </c>
      <c r="Y604" s="32">
        <v>0</v>
      </c>
      <c r="Z604" s="32">
        <v>0</v>
      </c>
      <c r="AA604" s="32">
        <v>0</v>
      </c>
      <c r="AB604" s="32">
        <v>0</v>
      </c>
      <c r="AC604" s="32">
        <f t="shared" si="268"/>
        <v>0</v>
      </c>
      <c r="AD604" s="32">
        <v>99900</v>
      </c>
      <c r="AE604" s="32">
        <v>0</v>
      </c>
      <c r="AF604" s="35">
        <v>2021</v>
      </c>
      <c r="AG604" s="35" t="s">
        <v>275</v>
      </c>
      <c r="AH604" s="36" t="s">
        <v>275</v>
      </c>
    </row>
    <row r="605" spans="1:34" ht="61.5" x14ac:dyDescent="0.85">
      <c r="A605" s="21">
        <v>1</v>
      </c>
      <c r="B605" s="70">
        <f>SUBTOTAL(103,$A$535:A605)</f>
        <v>71</v>
      </c>
      <c r="C605" s="25" t="s">
        <v>611</v>
      </c>
      <c r="D605" s="32">
        <f t="shared" si="254"/>
        <v>100000</v>
      </c>
      <c r="E605" s="32">
        <v>0</v>
      </c>
      <c r="F605" s="32">
        <v>0</v>
      </c>
      <c r="G605" s="32">
        <v>0</v>
      </c>
      <c r="H605" s="32">
        <v>0</v>
      </c>
      <c r="I605" s="32">
        <v>0</v>
      </c>
      <c r="J605" s="32">
        <v>0</v>
      </c>
      <c r="K605" s="34">
        <v>0</v>
      </c>
      <c r="L605" s="32">
        <v>0</v>
      </c>
      <c r="M605" s="32">
        <v>0</v>
      </c>
      <c r="N605" s="32">
        <v>0</v>
      </c>
      <c r="O605" s="32">
        <v>0</v>
      </c>
      <c r="P605" s="32">
        <v>0</v>
      </c>
      <c r="Q605" s="32">
        <v>0</v>
      </c>
      <c r="R605" s="32">
        <v>0</v>
      </c>
      <c r="S605" s="32">
        <v>0</v>
      </c>
      <c r="T605" s="32">
        <v>0</v>
      </c>
      <c r="U605" s="32">
        <v>0</v>
      </c>
      <c r="V605" s="32">
        <v>0</v>
      </c>
      <c r="W605" s="32">
        <v>0</v>
      </c>
      <c r="X605" s="32">
        <v>0</v>
      </c>
      <c r="Y605" s="32">
        <v>0</v>
      </c>
      <c r="Z605" s="32">
        <v>0</v>
      </c>
      <c r="AA605" s="32">
        <v>0</v>
      </c>
      <c r="AB605" s="32">
        <v>0</v>
      </c>
      <c r="AC605" s="32">
        <f t="shared" si="268"/>
        <v>0</v>
      </c>
      <c r="AD605" s="32">
        <v>100000</v>
      </c>
      <c r="AE605" s="32">
        <v>0</v>
      </c>
      <c r="AF605" s="35">
        <v>2021</v>
      </c>
      <c r="AG605" s="35" t="s">
        <v>275</v>
      </c>
      <c r="AH605" s="36" t="s">
        <v>275</v>
      </c>
    </row>
    <row r="606" spans="1:34" ht="61.5" x14ac:dyDescent="0.85">
      <c r="A606" s="21">
        <v>1</v>
      </c>
      <c r="B606" s="70">
        <f>SUBTOTAL(103,$A$535:A606)</f>
        <v>72</v>
      </c>
      <c r="C606" s="25" t="s">
        <v>612</v>
      </c>
      <c r="D606" s="32">
        <f t="shared" si="254"/>
        <v>100000</v>
      </c>
      <c r="E606" s="32">
        <v>0</v>
      </c>
      <c r="F606" s="32">
        <v>0</v>
      </c>
      <c r="G606" s="32">
        <v>0</v>
      </c>
      <c r="H606" s="32">
        <v>0</v>
      </c>
      <c r="I606" s="32">
        <v>0</v>
      </c>
      <c r="J606" s="32">
        <v>0</v>
      </c>
      <c r="K606" s="34">
        <v>0</v>
      </c>
      <c r="L606" s="32">
        <v>0</v>
      </c>
      <c r="M606" s="32">
        <v>0</v>
      </c>
      <c r="N606" s="32">
        <v>0</v>
      </c>
      <c r="O606" s="32">
        <v>0</v>
      </c>
      <c r="P606" s="32">
        <v>0</v>
      </c>
      <c r="Q606" s="32">
        <v>0</v>
      </c>
      <c r="R606" s="32">
        <v>0</v>
      </c>
      <c r="S606" s="32">
        <v>0</v>
      </c>
      <c r="T606" s="32">
        <v>0</v>
      </c>
      <c r="U606" s="32">
        <v>0</v>
      </c>
      <c r="V606" s="32">
        <v>0</v>
      </c>
      <c r="W606" s="32">
        <v>0</v>
      </c>
      <c r="X606" s="32">
        <v>0</v>
      </c>
      <c r="Y606" s="32">
        <v>0</v>
      </c>
      <c r="Z606" s="32">
        <v>0</v>
      </c>
      <c r="AA606" s="32">
        <v>0</v>
      </c>
      <c r="AB606" s="32">
        <v>0</v>
      </c>
      <c r="AC606" s="32">
        <f t="shared" si="268"/>
        <v>0</v>
      </c>
      <c r="AD606" s="32">
        <v>100000</v>
      </c>
      <c r="AE606" s="32">
        <v>0</v>
      </c>
      <c r="AF606" s="35">
        <v>2021</v>
      </c>
      <c r="AG606" s="35" t="s">
        <v>275</v>
      </c>
      <c r="AH606" s="36" t="s">
        <v>275</v>
      </c>
    </row>
    <row r="607" spans="1:34" ht="61.5" x14ac:dyDescent="0.85">
      <c r="A607" s="21">
        <v>1</v>
      </c>
      <c r="B607" s="70">
        <f>SUBTOTAL(103,$A$535:A607)</f>
        <v>73</v>
      </c>
      <c r="C607" s="25" t="s">
        <v>613</v>
      </c>
      <c r="D607" s="32">
        <f t="shared" si="254"/>
        <v>100000</v>
      </c>
      <c r="E607" s="32">
        <v>0</v>
      </c>
      <c r="F607" s="32">
        <v>0</v>
      </c>
      <c r="G607" s="32">
        <v>0</v>
      </c>
      <c r="H607" s="32">
        <v>0</v>
      </c>
      <c r="I607" s="32">
        <v>0</v>
      </c>
      <c r="J607" s="32">
        <v>0</v>
      </c>
      <c r="K607" s="34">
        <v>0</v>
      </c>
      <c r="L607" s="32">
        <v>0</v>
      </c>
      <c r="M607" s="32">
        <v>0</v>
      </c>
      <c r="N607" s="32">
        <v>0</v>
      </c>
      <c r="O607" s="32">
        <v>0</v>
      </c>
      <c r="P607" s="32">
        <v>0</v>
      </c>
      <c r="Q607" s="32">
        <v>0</v>
      </c>
      <c r="R607" s="32">
        <v>0</v>
      </c>
      <c r="S607" s="32">
        <v>0</v>
      </c>
      <c r="T607" s="32">
        <v>0</v>
      </c>
      <c r="U607" s="32">
        <v>0</v>
      </c>
      <c r="V607" s="32">
        <v>0</v>
      </c>
      <c r="W607" s="32">
        <v>0</v>
      </c>
      <c r="X607" s="32">
        <v>0</v>
      </c>
      <c r="Y607" s="32">
        <v>0</v>
      </c>
      <c r="Z607" s="32">
        <v>0</v>
      </c>
      <c r="AA607" s="32">
        <v>0</v>
      </c>
      <c r="AB607" s="32">
        <v>0</v>
      </c>
      <c r="AC607" s="32">
        <f t="shared" si="268"/>
        <v>0</v>
      </c>
      <c r="AD607" s="32">
        <v>100000</v>
      </c>
      <c r="AE607" s="32">
        <v>0</v>
      </c>
      <c r="AF607" s="35">
        <v>2021</v>
      </c>
      <c r="AG607" s="35" t="s">
        <v>275</v>
      </c>
      <c r="AH607" s="36" t="s">
        <v>275</v>
      </c>
    </row>
    <row r="608" spans="1:34" ht="61.5" x14ac:dyDescent="0.85">
      <c r="A608" s="21">
        <v>1</v>
      </c>
      <c r="B608" s="70">
        <f>SUBTOTAL(103,$A$535:A608)</f>
        <v>74</v>
      </c>
      <c r="C608" s="25" t="s">
        <v>614</v>
      </c>
      <c r="D608" s="32">
        <f t="shared" si="254"/>
        <v>100000</v>
      </c>
      <c r="E608" s="32">
        <v>0</v>
      </c>
      <c r="F608" s="32">
        <v>0</v>
      </c>
      <c r="G608" s="32">
        <v>0</v>
      </c>
      <c r="H608" s="32">
        <v>0</v>
      </c>
      <c r="I608" s="32">
        <v>0</v>
      </c>
      <c r="J608" s="32">
        <v>0</v>
      </c>
      <c r="K608" s="34">
        <v>0</v>
      </c>
      <c r="L608" s="32">
        <v>0</v>
      </c>
      <c r="M608" s="32">
        <v>0</v>
      </c>
      <c r="N608" s="32">
        <v>0</v>
      </c>
      <c r="O608" s="32">
        <v>0</v>
      </c>
      <c r="P608" s="32">
        <v>0</v>
      </c>
      <c r="Q608" s="32">
        <v>0</v>
      </c>
      <c r="R608" s="32">
        <v>0</v>
      </c>
      <c r="S608" s="32">
        <v>0</v>
      </c>
      <c r="T608" s="32">
        <v>0</v>
      </c>
      <c r="U608" s="32">
        <v>0</v>
      </c>
      <c r="V608" s="32">
        <v>0</v>
      </c>
      <c r="W608" s="32">
        <v>0</v>
      </c>
      <c r="X608" s="32">
        <v>0</v>
      </c>
      <c r="Y608" s="32">
        <v>0</v>
      </c>
      <c r="Z608" s="32">
        <v>0</v>
      </c>
      <c r="AA608" s="32">
        <v>0</v>
      </c>
      <c r="AB608" s="32">
        <v>0</v>
      </c>
      <c r="AC608" s="32">
        <f t="shared" si="268"/>
        <v>0</v>
      </c>
      <c r="AD608" s="32">
        <v>100000</v>
      </c>
      <c r="AE608" s="32">
        <v>0</v>
      </c>
      <c r="AF608" s="35">
        <v>2021</v>
      </c>
      <c r="AG608" s="35" t="s">
        <v>275</v>
      </c>
      <c r="AH608" s="36" t="s">
        <v>275</v>
      </c>
    </row>
    <row r="609" spans="1:34" ht="61.5" x14ac:dyDescent="0.85">
      <c r="A609" s="21">
        <v>1</v>
      </c>
      <c r="B609" s="70">
        <f>SUBTOTAL(103,$A$535:A609)</f>
        <v>75</v>
      </c>
      <c r="C609" s="25" t="s">
        <v>615</v>
      </c>
      <c r="D609" s="32">
        <f t="shared" si="254"/>
        <v>100000</v>
      </c>
      <c r="E609" s="32">
        <v>0</v>
      </c>
      <c r="F609" s="32">
        <v>0</v>
      </c>
      <c r="G609" s="32">
        <v>0</v>
      </c>
      <c r="H609" s="32">
        <v>0</v>
      </c>
      <c r="I609" s="32">
        <v>0</v>
      </c>
      <c r="J609" s="32">
        <v>0</v>
      </c>
      <c r="K609" s="34">
        <v>0</v>
      </c>
      <c r="L609" s="32">
        <v>0</v>
      </c>
      <c r="M609" s="32">
        <v>0</v>
      </c>
      <c r="N609" s="32">
        <v>0</v>
      </c>
      <c r="O609" s="32">
        <v>0</v>
      </c>
      <c r="P609" s="32">
        <v>0</v>
      </c>
      <c r="Q609" s="32">
        <v>0</v>
      </c>
      <c r="R609" s="32">
        <v>0</v>
      </c>
      <c r="S609" s="32">
        <v>0</v>
      </c>
      <c r="T609" s="32">
        <v>0</v>
      </c>
      <c r="U609" s="32">
        <v>0</v>
      </c>
      <c r="V609" s="32">
        <v>0</v>
      </c>
      <c r="W609" s="32">
        <v>0</v>
      </c>
      <c r="X609" s="32">
        <v>0</v>
      </c>
      <c r="Y609" s="32">
        <v>0</v>
      </c>
      <c r="Z609" s="32">
        <v>0</v>
      </c>
      <c r="AA609" s="32">
        <v>0</v>
      </c>
      <c r="AB609" s="32">
        <v>0</v>
      </c>
      <c r="AC609" s="32">
        <f t="shared" si="268"/>
        <v>0</v>
      </c>
      <c r="AD609" s="32">
        <v>100000</v>
      </c>
      <c r="AE609" s="32">
        <v>0</v>
      </c>
      <c r="AF609" s="35">
        <v>2021</v>
      </c>
      <c r="AG609" s="35" t="s">
        <v>275</v>
      </c>
      <c r="AH609" s="36" t="s">
        <v>275</v>
      </c>
    </row>
    <row r="610" spans="1:34" ht="61.5" x14ac:dyDescent="0.85">
      <c r="A610" s="21">
        <v>1</v>
      </c>
      <c r="B610" s="70">
        <f>SUBTOTAL(103,$A$535:A610)</f>
        <v>76</v>
      </c>
      <c r="C610" s="25" t="s">
        <v>616</v>
      </c>
      <c r="D610" s="32">
        <f t="shared" si="254"/>
        <v>100000</v>
      </c>
      <c r="E610" s="32">
        <v>0</v>
      </c>
      <c r="F610" s="32">
        <v>0</v>
      </c>
      <c r="G610" s="32">
        <v>0</v>
      </c>
      <c r="H610" s="32">
        <v>0</v>
      </c>
      <c r="I610" s="32">
        <v>0</v>
      </c>
      <c r="J610" s="32">
        <v>0</v>
      </c>
      <c r="K610" s="34">
        <v>0</v>
      </c>
      <c r="L610" s="32">
        <v>0</v>
      </c>
      <c r="M610" s="32">
        <v>0</v>
      </c>
      <c r="N610" s="32">
        <v>0</v>
      </c>
      <c r="O610" s="32">
        <v>0</v>
      </c>
      <c r="P610" s="32">
        <v>0</v>
      </c>
      <c r="Q610" s="32">
        <v>0</v>
      </c>
      <c r="R610" s="32">
        <v>0</v>
      </c>
      <c r="S610" s="32">
        <v>0</v>
      </c>
      <c r="T610" s="32">
        <v>0</v>
      </c>
      <c r="U610" s="32">
        <v>0</v>
      </c>
      <c r="V610" s="32">
        <v>0</v>
      </c>
      <c r="W610" s="32">
        <v>0</v>
      </c>
      <c r="X610" s="32">
        <v>0</v>
      </c>
      <c r="Y610" s="32">
        <v>0</v>
      </c>
      <c r="Z610" s="32">
        <v>0</v>
      </c>
      <c r="AA610" s="32">
        <v>0</v>
      </c>
      <c r="AB610" s="32">
        <v>0</v>
      </c>
      <c r="AC610" s="32">
        <f t="shared" si="268"/>
        <v>0</v>
      </c>
      <c r="AD610" s="32">
        <v>100000</v>
      </c>
      <c r="AE610" s="32">
        <v>0</v>
      </c>
      <c r="AF610" s="35">
        <v>2021</v>
      </c>
      <c r="AG610" s="35" t="s">
        <v>275</v>
      </c>
      <c r="AH610" s="36" t="s">
        <v>275</v>
      </c>
    </row>
    <row r="611" spans="1:34" ht="61.5" x14ac:dyDescent="0.85">
      <c r="A611" s="21">
        <v>1</v>
      </c>
      <c r="B611" s="70">
        <f>SUBTOTAL(103,$A$535:A611)</f>
        <v>77</v>
      </c>
      <c r="C611" s="25" t="s">
        <v>617</v>
      </c>
      <c r="D611" s="32">
        <f t="shared" si="254"/>
        <v>100000</v>
      </c>
      <c r="E611" s="32">
        <v>0</v>
      </c>
      <c r="F611" s="32">
        <v>0</v>
      </c>
      <c r="G611" s="32">
        <v>0</v>
      </c>
      <c r="H611" s="32">
        <v>0</v>
      </c>
      <c r="I611" s="32">
        <v>0</v>
      </c>
      <c r="J611" s="32">
        <v>0</v>
      </c>
      <c r="K611" s="34">
        <v>0</v>
      </c>
      <c r="L611" s="32">
        <v>0</v>
      </c>
      <c r="M611" s="32">
        <v>0</v>
      </c>
      <c r="N611" s="32">
        <v>0</v>
      </c>
      <c r="O611" s="32">
        <v>0</v>
      </c>
      <c r="P611" s="32">
        <v>0</v>
      </c>
      <c r="Q611" s="32">
        <v>0</v>
      </c>
      <c r="R611" s="32">
        <v>0</v>
      </c>
      <c r="S611" s="32">
        <v>0</v>
      </c>
      <c r="T611" s="32">
        <v>0</v>
      </c>
      <c r="U611" s="32">
        <v>0</v>
      </c>
      <c r="V611" s="32">
        <v>0</v>
      </c>
      <c r="W611" s="32">
        <v>0</v>
      </c>
      <c r="X611" s="32">
        <v>0</v>
      </c>
      <c r="Y611" s="32">
        <v>0</v>
      </c>
      <c r="Z611" s="32">
        <v>0</v>
      </c>
      <c r="AA611" s="32">
        <v>0</v>
      </c>
      <c r="AB611" s="32">
        <v>0</v>
      </c>
      <c r="AC611" s="32">
        <f t="shared" si="268"/>
        <v>0</v>
      </c>
      <c r="AD611" s="32">
        <v>100000</v>
      </c>
      <c r="AE611" s="32">
        <v>0</v>
      </c>
      <c r="AF611" s="35">
        <v>2021</v>
      </c>
      <c r="AG611" s="35" t="s">
        <v>275</v>
      </c>
      <c r="AH611" s="36" t="s">
        <v>275</v>
      </c>
    </row>
    <row r="612" spans="1:34" ht="61.5" x14ac:dyDescent="0.85">
      <c r="A612" s="21">
        <v>1</v>
      </c>
      <c r="B612" s="70">
        <f>SUBTOTAL(103,$A$535:A612)</f>
        <v>78</v>
      </c>
      <c r="C612" s="25" t="s">
        <v>618</v>
      </c>
      <c r="D612" s="32">
        <f t="shared" si="254"/>
        <v>100000</v>
      </c>
      <c r="E612" s="32">
        <v>0</v>
      </c>
      <c r="F612" s="32">
        <v>0</v>
      </c>
      <c r="G612" s="32">
        <v>0</v>
      </c>
      <c r="H612" s="32">
        <v>0</v>
      </c>
      <c r="I612" s="32">
        <v>0</v>
      </c>
      <c r="J612" s="32">
        <v>0</v>
      </c>
      <c r="K612" s="34">
        <v>0</v>
      </c>
      <c r="L612" s="32">
        <v>0</v>
      </c>
      <c r="M612" s="32">
        <v>0</v>
      </c>
      <c r="N612" s="32">
        <v>0</v>
      </c>
      <c r="O612" s="32">
        <v>0</v>
      </c>
      <c r="P612" s="32">
        <v>0</v>
      </c>
      <c r="Q612" s="32">
        <v>0</v>
      </c>
      <c r="R612" s="32">
        <v>0</v>
      </c>
      <c r="S612" s="32">
        <v>0</v>
      </c>
      <c r="T612" s="32">
        <v>0</v>
      </c>
      <c r="U612" s="32">
        <v>0</v>
      </c>
      <c r="V612" s="32">
        <v>0</v>
      </c>
      <c r="W612" s="32">
        <v>0</v>
      </c>
      <c r="X612" s="32">
        <v>0</v>
      </c>
      <c r="Y612" s="32">
        <v>0</v>
      </c>
      <c r="Z612" s="32">
        <v>0</v>
      </c>
      <c r="AA612" s="32">
        <v>0</v>
      </c>
      <c r="AB612" s="32">
        <v>0</v>
      </c>
      <c r="AC612" s="32">
        <f t="shared" si="268"/>
        <v>0</v>
      </c>
      <c r="AD612" s="32">
        <v>100000</v>
      </c>
      <c r="AE612" s="32">
        <v>0</v>
      </c>
      <c r="AF612" s="35">
        <v>2021</v>
      </c>
      <c r="AG612" s="35" t="s">
        <v>275</v>
      </c>
      <c r="AH612" s="36" t="s">
        <v>275</v>
      </c>
    </row>
    <row r="613" spans="1:34" ht="61.5" x14ac:dyDescent="0.85">
      <c r="A613" s="21">
        <v>1</v>
      </c>
      <c r="B613" s="70">
        <f>SUBTOTAL(103,$A$535:A613)</f>
        <v>79</v>
      </c>
      <c r="C613" s="25" t="s">
        <v>619</v>
      </c>
      <c r="D613" s="32">
        <f t="shared" si="254"/>
        <v>100000</v>
      </c>
      <c r="E613" s="32">
        <v>0</v>
      </c>
      <c r="F613" s="32">
        <v>0</v>
      </c>
      <c r="G613" s="32">
        <v>0</v>
      </c>
      <c r="H613" s="32">
        <v>0</v>
      </c>
      <c r="I613" s="32">
        <v>0</v>
      </c>
      <c r="J613" s="32">
        <v>0</v>
      </c>
      <c r="K613" s="34">
        <v>0</v>
      </c>
      <c r="L613" s="32">
        <v>0</v>
      </c>
      <c r="M613" s="32">
        <v>0</v>
      </c>
      <c r="N613" s="32">
        <v>0</v>
      </c>
      <c r="O613" s="32">
        <v>0</v>
      </c>
      <c r="P613" s="32">
        <v>0</v>
      </c>
      <c r="Q613" s="32">
        <v>0</v>
      </c>
      <c r="R613" s="32">
        <v>0</v>
      </c>
      <c r="S613" s="32">
        <v>0</v>
      </c>
      <c r="T613" s="32">
        <v>0</v>
      </c>
      <c r="U613" s="32">
        <v>0</v>
      </c>
      <c r="V613" s="32">
        <v>0</v>
      </c>
      <c r="W613" s="32">
        <v>0</v>
      </c>
      <c r="X613" s="32">
        <v>0</v>
      </c>
      <c r="Y613" s="32">
        <v>0</v>
      </c>
      <c r="Z613" s="32">
        <v>0</v>
      </c>
      <c r="AA613" s="32">
        <v>0</v>
      </c>
      <c r="AB613" s="32">
        <v>0</v>
      </c>
      <c r="AC613" s="32">
        <f t="shared" si="268"/>
        <v>0</v>
      </c>
      <c r="AD613" s="32">
        <v>100000</v>
      </c>
      <c r="AE613" s="32">
        <v>0</v>
      </c>
      <c r="AF613" s="35">
        <v>2021</v>
      </c>
      <c r="AG613" s="35" t="s">
        <v>275</v>
      </c>
      <c r="AH613" s="36" t="s">
        <v>275</v>
      </c>
    </row>
    <row r="614" spans="1:34" ht="61.5" x14ac:dyDescent="0.85">
      <c r="A614" s="21">
        <v>1</v>
      </c>
      <c r="B614" s="70">
        <f>SUBTOTAL(103,$A$535:A614)</f>
        <v>80</v>
      </c>
      <c r="C614" s="25" t="s">
        <v>620</v>
      </c>
      <c r="D614" s="32">
        <f t="shared" si="254"/>
        <v>100000</v>
      </c>
      <c r="E614" s="32">
        <v>0</v>
      </c>
      <c r="F614" s="32">
        <v>0</v>
      </c>
      <c r="G614" s="32">
        <v>0</v>
      </c>
      <c r="H614" s="32">
        <v>0</v>
      </c>
      <c r="I614" s="32">
        <v>0</v>
      </c>
      <c r="J614" s="32">
        <v>0</v>
      </c>
      <c r="K614" s="34">
        <v>0</v>
      </c>
      <c r="L614" s="32">
        <v>0</v>
      </c>
      <c r="M614" s="32">
        <v>0</v>
      </c>
      <c r="N614" s="32">
        <v>0</v>
      </c>
      <c r="O614" s="32">
        <v>0</v>
      </c>
      <c r="P614" s="32">
        <v>0</v>
      </c>
      <c r="Q614" s="32">
        <v>0</v>
      </c>
      <c r="R614" s="32">
        <v>0</v>
      </c>
      <c r="S614" s="32">
        <v>0</v>
      </c>
      <c r="T614" s="32">
        <v>0</v>
      </c>
      <c r="U614" s="32">
        <v>0</v>
      </c>
      <c r="V614" s="32">
        <v>0</v>
      </c>
      <c r="W614" s="32">
        <v>0</v>
      </c>
      <c r="X614" s="32">
        <v>0</v>
      </c>
      <c r="Y614" s="32">
        <v>0</v>
      </c>
      <c r="Z614" s="32">
        <v>0</v>
      </c>
      <c r="AA614" s="32">
        <v>0</v>
      </c>
      <c r="AB614" s="32">
        <v>0</v>
      </c>
      <c r="AC614" s="32">
        <f t="shared" si="268"/>
        <v>0</v>
      </c>
      <c r="AD614" s="32">
        <v>100000</v>
      </c>
      <c r="AE614" s="32">
        <v>0</v>
      </c>
      <c r="AF614" s="35">
        <v>2021</v>
      </c>
      <c r="AG614" s="35" t="s">
        <v>275</v>
      </c>
      <c r="AH614" s="36" t="s">
        <v>275</v>
      </c>
    </row>
    <row r="615" spans="1:34" ht="61.5" x14ac:dyDescent="0.85">
      <c r="A615" s="21">
        <v>1</v>
      </c>
      <c r="B615" s="70">
        <f>SUBTOTAL(103,$A$535:A615)</f>
        <v>81</v>
      </c>
      <c r="C615" s="25" t="s">
        <v>621</v>
      </c>
      <c r="D615" s="32">
        <f t="shared" si="254"/>
        <v>100000</v>
      </c>
      <c r="E615" s="32">
        <v>0</v>
      </c>
      <c r="F615" s="32">
        <v>0</v>
      </c>
      <c r="G615" s="32">
        <v>0</v>
      </c>
      <c r="H615" s="32">
        <v>0</v>
      </c>
      <c r="I615" s="32">
        <v>0</v>
      </c>
      <c r="J615" s="32">
        <v>0</v>
      </c>
      <c r="K615" s="34">
        <v>0</v>
      </c>
      <c r="L615" s="32">
        <v>0</v>
      </c>
      <c r="M615" s="32">
        <v>0</v>
      </c>
      <c r="N615" s="32">
        <v>0</v>
      </c>
      <c r="O615" s="32">
        <v>0</v>
      </c>
      <c r="P615" s="32">
        <v>0</v>
      </c>
      <c r="Q615" s="32">
        <v>0</v>
      </c>
      <c r="R615" s="32">
        <v>0</v>
      </c>
      <c r="S615" s="32">
        <v>0</v>
      </c>
      <c r="T615" s="32">
        <v>0</v>
      </c>
      <c r="U615" s="32">
        <v>0</v>
      </c>
      <c r="V615" s="32">
        <v>0</v>
      </c>
      <c r="W615" s="32">
        <v>0</v>
      </c>
      <c r="X615" s="32">
        <v>0</v>
      </c>
      <c r="Y615" s="32">
        <v>0</v>
      </c>
      <c r="Z615" s="32">
        <v>0</v>
      </c>
      <c r="AA615" s="32">
        <v>0</v>
      </c>
      <c r="AB615" s="32">
        <v>0</v>
      </c>
      <c r="AC615" s="32">
        <f t="shared" si="268"/>
        <v>0</v>
      </c>
      <c r="AD615" s="32">
        <v>100000</v>
      </c>
      <c r="AE615" s="32">
        <v>0</v>
      </c>
      <c r="AF615" s="35">
        <v>2021</v>
      </c>
      <c r="AG615" s="35" t="s">
        <v>275</v>
      </c>
      <c r="AH615" s="36" t="s">
        <v>275</v>
      </c>
    </row>
    <row r="616" spans="1:34" ht="61.5" x14ac:dyDescent="0.85">
      <c r="A616" s="21">
        <v>1</v>
      </c>
      <c r="B616" s="70">
        <f>SUBTOTAL(103,$A$535:A616)</f>
        <v>82</v>
      </c>
      <c r="C616" s="25" t="s">
        <v>622</v>
      </c>
      <c r="D616" s="32">
        <f t="shared" si="254"/>
        <v>100000</v>
      </c>
      <c r="E616" s="32">
        <v>0</v>
      </c>
      <c r="F616" s="32">
        <v>0</v>
      </c>
      <c r="G616" s="32">
        <v>0</v>
      </c>
      <c r="H616" s="32">
        <v>0</v>
      </c>
      <c r="I616" s="32">
        <v>0</v>
      </c>
      <c r="J616" s="32">
        <v>0</v>
      </c>
      <c r="K616" s="34">
        <v>0</v>
      </c>
      <c r="L616" s="32">
        <v>0</v>
      </c>
      <c r="M616" s="32">
        <v>0</v>
      </c>
      <c r="N616" s="32">
        <v>0</v>
      </c>
      <c r="O616" s="32">
        <v>0</v>
      </c>
      <c r="P616" s="32">
        <v>0</v>
      </c>
      <c r="Q616" s="32">
        <v>0</v>
      </c>
      <c r="R616" s="32">
        <v>0</v>
      </c>
      <c r="S616" s="32">
        <v>0</v>
      </c>
      <c r="T616" s="32">
        <v>0</v>
      </c>
      <c r="U616" s="32">
        <v>0</v>
      </c>
      <c r="V616" s="32">
        <v>0</v>
      </c>
      <c r="W616" s="32">
        <v>0</v>
      </c>
      <c r="X616" s="32">
        <v>0</v>
      </c>
      <c r="Y616" s="32">
        <v>0</v>
      </c>
      <c r="Z616" s="32">
        <v>0</v>
      </c>
      <c r="AA616" s="32">
        <v>0</v>
      </c>
      <c r="AB616" s="32">
        <v>0</v>
      </c>
      <c r="AC616" s="32">
        <f t="shared" si="268"/>
        <v>0</v>
      </c>
      <c r="AD616" s="32">
        <v>100000</v>
      </c>
      <c r="AE616" s="32">
        <v>0</v>
      </c>
      <c r="AF616" s="35">
        <v>2021</v>
      </c>
      <c r="AG616" s="35" t="s">
        <v>275</v>
      </c>
      <c r="AH616" s="36" t="s">
        <v>275</v>
      </c>
    </row>
    <row r="617" spans="1:34" ht="61.5" x14ac:dyDescent="0.85">
      <c r="A617" s="21">
        <v>1</v>
      </c>
      <c r="B617" s="70">
        <f>SUBTOTAL(103,$A$535:A617)</f>
        <v>83</v>
      </c>
      <c r="C617" s="25" t="s">
        <v>623</v>
      </c>
      <c r="D617" s="32">
        <f t="shared" si="254"/>
        <v>100000</v>
      </c>
      <c r="E617" s="32">
        <v>0</v>
      </c>
      <c r="F617" s="32">
        <v>0</v>
      </c>
      <c r="G617" s="32">
        <v>0</v>
      </c>
      <c r="H617" s="32">
        <v>0</v>
      </c>
      <c r="I617" s="32">
        <v>0</v>
      </c>
      <c r="J617" s="32">
        <v>0</v>
      </c>
      <c r="K617" s="34">
        <v>0</v>
      </c>
      <c r="L617" s="32">
        <v>0</v>
      </c>
      <c r="M617" s="32">
        <v>0</v>
      </c>
      <c r="N617" s="32">
        <v>0</v>
      </c>
      <c r="O617" s="32">
        <v>0</v>
      </c>
      <c r="P617" s="32">
        <v>0</v>
      </c>
      <c r="Q617" s="32">
        <v>0</v>
      </c>
      <c r="R617" s="32">
        <v>0</v>
      </c>
      <c r="S617" s="32">
        <v>0</v>
      </c>
      <c r="T617" s="32">
        <v>0</v>
      </c>
      <c r="U617" s="32">
        <v>0</v>
      </c>
      <c r="V617" s="32">
        <v>0</v>
      </c>
      <c r="W617" s="32">
        <v>0</v>
      </c>
      <c r="X617" s="32">
        <v>0</v>
      </c>
      <c r="Y617" s="32">
        <v>0</v>
      </c>
      <c r="Z617" s="32">
        <v>0</v>
      </c>
      <c r="AA617" s="32">
        <v>0</v>
      </c>
      <c r="AB617" s="32">
        <v>0</v>
      </c>
      <c r="AC617" s="32">
        <f t="shared" si="268"/>
        <v>0</v>
      </c>
      <c r="AD617" s="32">
        <v>100000</v>
      </c>
      <c r="AE617" s="32">
        <v>0</v>
      </c>
      <c r="AF617" s="35">
        <v>2021</v>
      </c>
      <c r="AG617" s="35" t="s">
        <v>275</v>
      </c>
      <c r="AH617" s="36" t="s">
        <v>275</v>
      </c>
    </row>
    <row r="618" spans="1:34" ht="61.5" x14ac:dyDescent="0.85">
      <c r="A618" s="21">
        <v>1</v>
      </c>
      <c r="B618" s="70">
        <f>SUBTOTAL(103,$A$535:A618)</f>
        <v>84</v>
      </c>
      <c r="C618" s="25" t="s">
        <v>624</v>
      </c>
      <c r="D618" s="32">
        <f t="shared" si="254"/>
        <v>100000</v>
      </c>
      <c r="E618" s="32">
        <v>0</v>
      </c>
      <c r="F618" s="32">
        <v>0</v>
      </c>
      <c r="G618" s="32">
        <v>0</v>
      </c>
      <c r="H618" s="32">
        <v>0</v>
      </c>
      <c r="I618" s="32">
        <v>0</v>
      </c>
      <c r="J618" s="32">
        <v>0</v>
      </c>
      <c r="K618" s="34">
        <v>0</v>
      </c>
      <c r="L618" s="32">
        <v>0</v>
      </c>
      <c r="M618" s="32">
        <v>0</v>
      </c>
      <c r="N618" s="32">
        <v>0</v>
      </c>
      <c r="O618" s="32">
        <v>0</v>
      </c>
      <c r="P618" s="32">
        <v>0</v>
      </c>
      <c r="Q618" s="32">
        <v>0</v>
      </c>
      <c r="R618" s="32">
        <v>0</v>
      </c>
      <c r="S618" s="32">
        <v>0</v>
      </c>
      <c r="T618" s="32">
        <v>0</v>
      </c>
      <c r="U618" s="32">
        <v>0</v>
      </c>
      <c r="V618" s="32">
        <v>0</v>
      </c>
      <c r="W618" s="32">
        <v>0</v>
      </c>
      <c r="X618" s="32">
        <v>0</v>
      </c>
      <c r="Y618" s="32">
        <v>0</v>
      </c>
      <c r="Z618" s="32">
        <v>0</v>
      </c>
      <c r="AA618" s="32">
        <v>0</v>
      </c>
      <c r="AB618" s="32">
        <v>0</v>
      </c>
      <c r="AC618" s="32">
        <f t="shared" si="268"/>
        <v>0</v>
      </c>
      <c r="AD618" s="32">
        <v>100000</v>
      </c>
      <c r="AE618" s="32">
        <v>0</v>
      </c>
      <c r="AF618" s="35">
        <v>2021</v>
      </c>
      <c r="AG618" s="35" t="s">
        <v>275</v>
      </c>
      <c r="AH618" s="36" t="s">
        <v>275</v>
      </c>
    </row>
    <row r="619" spans="1:34" ht="61.5" x14ac:dyDescent="0.85">
      <c r="A619" s="21">
        <v>1</v>
      </c>
      <c r="B619" s="70">
        <f>SUBTOTAL(103,$A$535:A619)</f>
        <v>85</v>
      </c>
      <c r="C619" s="25" t="s">
        <v>625</v>
      </c>
      <c r="D619" s="32">
        <f t="shared" si="254"/>
        <v>100000</v>
      </c>
      <c r="E619" s="32">
        <v>0</v>
      </c>
      <c r="F619" s="32">
        <v>0</v>
      </c>
      <c r="G619" s="32">
        <v>0</v>
      </c>
      <c r="H619" s="32">
        <v>0</v>
      </c>
      <c r="I619" s="32">
        <v>0</v>
      </c>
      <c r="J619" s="32">
        <v>0</v>
      </c>
      <c r="K619" s="34">
        <v>0</v>
      </c>
      <c r="L619" s="32">
        <v>0</v>
      </c>
      <c r="M619" s="32">
        <v>0</v>
      </c>
      <c r="N619" s="32">
        <v>0</v>
      </c>
      <c r="O619" s="32">
        <v>0</v>
      </c>
      <c r="P619" s="32">
        <v>0</v>
      </c>
      <c r="Q619" s="32">
        <v>0</v>
      </c>
      <c r="R619" s="32">
        <v>0</v>
      </c>
      <c r="S619" s="32">
        <v>0</v>
      </c>
      <c r="T619" s="32">
        <v>0</v>
      </c>
      <c r="U619" s="32">
        <v>0</v>
      </c>
      <c r="V619" s="32">
        <v>0</v>
      </c>
      <c r="W619" s="32">
        <v>0</v>
      </c>
      <c r="X619" s="32">
        <v>0</v>
      </c>
      <c r="Y619" s="32">
        <v>0</v>
      </c>
      <c r="Z619" s="32">
        <v>0</v>
      </c>
      <c r="AA619" s="32">
        <v>0</v>
      </c>
      <c r="AB619" s="32">
        <v>0</v>
      </c>
      <c r="AC619" s="32">
        <f t="shared" si="268"/>
        <v>0</v>
      </c>
      <c r="AD619" s="32">
        <v>100000</v>
      </c>
      <c r="AE619" s="32">
        <v>0</v>
      </c>
      <c r="AF619" s="35">
        <v>2021</v>
      </c>
      <c r="AG619" s="35" t="s">
        <v>275</v>
      </c>
      <c r="AH619" s="36" t="s">
        <v>275</v>
      </c>
    </row>
    <row r="620" spans="1:34" ht="61.5" x14ac:dyDescent="0.85">
      <c r="A620" s="21">
        <v>1</v>
      </c>
      <c r="B620" s="70">
        <f>SUBTOTAL(103,$A$535:A620)</f>
        <v>86</v>
      </c>
      <c r="C620" s="25" t="s">
        <v>626</v>
      </c>
      <c r="D620" s="32">
        <f t="shared" si="254"/>
        <v>100000</v>
      </c>
      <c r="E620" s="32">
        <v>0</v>
      </c>
      <c r="F620" s="32">
        <v>0</v>
      </c>
      <c r="G620" s="32">
        <v>0</v>
      </c>
      <c r="H620" s="32">
        <v>0</v>
      </c>
      <c r="I620" s="32">
        <v>0</v>
      </c>
      <c r="J620" s="32">
        <v>0</v>
      </c>
      <c r="K620" s="34">
        <v>0</v>
      </c>
      <c r="L620" s="32">
        <v>0</v>
      </c>
      <c r="M620" s="32">
        <v>0</v>
      </c>
      <c r="N620" s="32">
        <v>0</v>
      </c>
      <c r="O620" s="32">
        <v>0</v>
      </c>
      <c r="P620" s="32">
        <v>0</v>
      </c>
      <c r="Q620" s="32">
        <v>0</v>
      </c>
      <c r="R620" s="32">
        <v>0</v>
      </c>
      <c r="S620" s="32">
        <v>0</v>
      </c>
      <c r="T620" s="32">
        <v>0</v>
      </c>
      <c r="U620" s="32">
        <v>0</v>
      </c>
      <c r="V620" s="32">
        <v>0</v>
      </c>
      <c r="W620" s="32">
        <v>0</v>
      </c>
      <c r="X620" s="32">
        <v>0</v>
      </c>
      <c r="Y620" s="32">
        <v>0</v>
      </c>
      <c r="Z620" s="32">
        <v>0</v>
      </c>
      <c r="AA620" s="32">
        <v>0</v>
      </c>
      <c r="AB620" s="32">
        <v>0</v>
      </c>
      <c r="AC620" s="32">
        <f t="shared" si="268"/>
        <v>0</v>
      </c>
      <c r="AD620" s="32">
        <v>100000</v>
      </c>
      <c r="AE620" s="32">
        <v>0</v>
      </c>
      <c r="AF620" s="35">
        <v>2021</v>
      </c>
      <c r="AG620" s="35" t="s">
        <v>275</v>
      </c>
      <c r="AH620" s="36" t="s">
        <v>275</v>
      </c>
    </row>
    <row r="621" spans="1:34" ht="61.5" x14ac:dyDescent="0.85">
      <c r="A621" s="21">
        <v>1</v>
      </c>
      <c r="B621" s="70">
        <f>SUBTOTAL(103,$A$535:A621)</f>
        <v>87</v>
      </c>
      <c r="C621" s="25" t="s">
        <v>627</v>
      </c>
      <c r="D621" s="32">
        <f t="shared" si="254"/>
        <v>100000</v>
      </c>
      <c r="E621" s="32">
        <v>0</v>
      </c>
      <c r="F621" s="32">
        <v>0</v>
      </c>
      <c r="G621" s="32">
        <v>0</v>
      </c>
      <c r="H621" s="32">
        <v>0</v>
      </c>
      <c r="I621" s="32">
        <v>0</v>
      </c>
      <c r="J621" s="32">
        <v>0</v>
      </c>
      <c r="K621" s="34">
        <v>0</v>
      </c>
      <c r="L621" s="32">
        <v>0</v>
      </c>
      <c r="M621" s="32">
        <v>0</v>
      </c>
      <c r="N621" s="32">
        <v>0</v>
      </c>
      <c r="O621" s="32">
        <v>0</v>
      </c>
      <c r="P621" s="32">
        <v>0</v>
      </c>
      <c r="Q621" s="32">
        <v>0</v>
      </c>
      <c r="R621" s="32">
        <v>0</v>
      </c>
      <c r="S621" s="32">
        <v>0</v>
      </c>
      <c r="T621" s="32">
        <v>0</v>
      </c>
      <c r="U621" s="32">
        <v>0</v>
      </c>
      <c r="V621" s="32">
        <v>0</v>
      </c>
      <c r="W621" s="32">
        <v>0</v>
      </c>
      <c r="X621" s="32">
        <v>0</v>
      </c>
      <c r="Y621" s="32">
        <v>0</v>
      </c>
      <c r="Z621" s="32">
        <v>0</v>
      </c>
      <c r="AA621" s="32">
        <v>0</v>
      </c>
      <c r="AB621" s="32">
        <v>0</v>
      </c>
      <c r="AC621" s="32">
        <f t="shared" si="268"/>
        <v>0</v>
      </c>
      <c r="AD621" s="32">
        <v>100000</v>
      </c>
      <c r="AE621" s="32">
        <v>0</v>
      </c>
      <c r="AF621" s="35">
        <v>2021</v>
      </c>
      <c r="AG621" s="35" t="s">
        <v>275</v>
      </c>
      <c r="AH621" s="36" t="s">
        <v>275</v>
      </c>
    </row>
    <row r="622" spans="1:34" ht="61.5" x14ac:dyDescent="0.85">
      <c r="A622" s="21">
        <v>1</v>
      </c>
      <c r="B622" s="70">
        <f>SUBTOTAL(103,$A$535:A622)</f>
        <v>88</v>
      </c>
      <c r="C622" s="25" t="s">
        <v>628</v>
      </c>
      <c r="D622" s="32">
        <f t="shared" si="254"/>
        <v>100000</v>
      </c>
      <c r="E622" s="32">
        <v>0</v>
      </c>
      <c r="F622" s="32">
        <v>0</v>
      </c>
      <c r="G622" s="32">
        <v>0</v>
      </c>
      <c r="H622" s="32">
        <v>0</v>
      </c>
      <c r="I622" s="32">
        <v>0</v>
      </c>
      <c r="J622" s="32">
        <v>0</v>
      </c>
      <c r="K622" s="34">
        <v>0</v>
      </c>
      <c r="L622" s="32">
        <v>0</v>
      </c>
      <c r="M622" s="32">
        <v>0</v>
      </c>
      <c r="N622" s="32">
        <v>0</v>
      </c>
      <c r="O622" s="32">
        <v>0</v>
      </c>
      <c r="P622" s="32">
        <v>0</v>
      </c>
      <c r="Q622" s="32">
        <v>0</v>
      </c>
      <c r="R622" s="32">
        <v>0</v>
      </c>
      <c r="S622" s="32">
        <v>0</v>
      </c>
      <c r="T622" s="32">
        <v>0</v>
      </c>
      <c r="U622" s="32">
        <v>0</v>
      </c>
      <c r="V622" s="32">
        <v>0</v>
      </c>
      <c r="W622" s="32">
        <v>0</v>
      </c>
      <c r="X622" s="32">
        <v>0</v>
      </c>
      <c r="Y622" s="32">
        <v>0</v>
      </c>
      <c r="Z622" s="32">
        <v>0</v>
      </c>
      <c r="AA622" s="32">
        <v>0</v>
      </c>
      <c r="AB622" s="32">
        <v>0</v>
      </c>
      <c r="AC622" s="32">
        <f t="shared" si="268"/>
        <v>0</v>
      </c>
      <c r="AD622" s="32">
        <v>100000</v>
      </c>
      <c r="AE622" s="32">
        <v>0</v>
      </c>
      <c r="AF622" s="35">
        <v>2021</v>
      </c>
      <c r="AG622" s="35" t="s">
        <v>275</v>
      </c>
      <c r="AH622" s="36" t="s">
        <v>275</v>
      </c>
    </row>
    <row r="623" spans="1:34" ht="61.5" x14ac:dyDescent="0.85">
      <c r="A623" s="21">
        <v>1</v>
      </c>
      <c r="B623" s="70">
        <f>SUBTOTAL(103,$A$535:A623)</f>
        <v>89</v>
      </c>
      <c r="C623" s="25" t="s">
        <v>629</v>
      </c>
      <c r="D623" s="32">
        <f t="shared" si="254"/>
        <v>100000</v>
      </c>
      <c r="E623" s="32">
        <v>0</v>
      </c>
      <c r="F623" s="32">
        <v>0</v>
      </c>
      <c r="G623" s="32">
        <v>0</v>
      </c>
      <c r="H623" s="32">
        <v>0</v>
      </c>
      <c r="I623" s="32">
        <v>0</v>
      </c>
      <c r="J623" s="32">
        <v>0</v>
      </c>
      <c r="K623" s="34">
        <v>0</v>
      </c>
      <c r="L623" s="32">
        <v>0</v>
      </c>
      <c r="M623" s="32">
        <v>0</v>
      </c>
      <c r="N623" s="32">
        <v>0</v>
      </c>
      <c r="O623" s="32">
        <v>0</v>
      </c>
      <c r="P623" s="32">
        <v>0</v>
      </c>
      <c r="Q623" s="32">
        <v>0</v>
      </c>
      <c r="R623" s="32">
        <v>0</v>
      </c>
      <c r="S623" s="32">
        <v>0</v>
      </c>
      <c r="T623" s="32">
        <v>0</v>
      </c>
      <c r="U623" s="32">
        <v>0</v>
      </c>
      <c r="V623" s="32">
        <v>0</v>
      </c>
      <c r="W623" s="32">
        <v>0</v>
      </c>
      <c r="X623" s="32">
        <v>0</v>
      </c>
      <c r="Y623" s="32">
        <v>0</v>
      </c>
      <c r="Z623" s="32">
        <v>0</v>
      </c>
      <c r="AA623" s="32">
        <v>0</v>
      </c>
      <c r="AB623" s="32">
        <v>0</v>
      </c>
      <c r="AC623" s="32">
        <f t="shared" si="268"/>
        <v>0</v>
      </c>
      <c r="AD623" s="32">
        <v>100000</v>
      </c>
      <c r="AE623" s="32">
        <v>0</v>
      </c>
      <c r="AF623" s="35">
        <v>2021</v>
      </c>
      <c r="AG623" s="35" t="s">
        <v>275</v>
      </c>
      <c r="AH623" s="36" t="s">
        <v>275</v>
      </c>
    </row>
    <row r="624" spans="1:34" ht="61.5" x14ac:dyDescent="0.85">
      <c r="A624" s="21">
        <v>1</v>
      </c>
      <c r="B624" s="70">
        <f>SUBTOTAL(103,$A$535:A624)</f>
        <v>90</v>
      </c>
      <c r="C624" s="25" t="s">
        <v>630</v>
      </c>
      <c r="D624" s="32">
        <f t="shared" si="254"/>
        <v>100000</v>
      </c>
      <c r="E624" s="32">
        <v>0</v>
      </c>
      <c r="F624" s="32">
        <v>0</v>
      </c>
      <c r="G624" s="32">
        <v>0</v>
      </c>
      <c r="H624" s="32">
        <v>0</v>
      </c>
      <c r="I624" s="32">
        <v>0</v>
      </c>
      <c r="J624" s="32">
        <v>0</v>
      </c>
      <c r="K624" s="34">
        <v>0</v>
      </c>
      <c r="L624" s="32">
        <v>0</v>
      </c>
      <c r="M624" s="32">
        <v>0</v>
      </c>
      <c r="N624" s="32">
        <v>0</v>
      </c>
      <c r="O624" s="32">
        <v>0</v>
      </c>
      <c r="P624" s="32">
        <v>0</v>
      </c>
      <c r="Q624" s="32">
        <v>0</v>
      </c>
      <c r="R624" s="32">
        <v>0</v>
      </c>
      <c r="S624" s="32">
        <v>0</v>
      </c>
      <c r="T624" s="32">
        <v>0</v>
      </c>
      <c r="U624" s="32">
        <v>0</v>
      </c>
      <c r="V624" s="32">
        <v>0</v>
      </c>
      <c r="W624" s="32">
        <v>0</v>
      </c>
      <c r="X624" s="32">
        <v>0</v>
      </c>
      <c r="Y624" s="32">
        <v>0</v>
      </c>
      <c r="Z624" s="32">
        <v>0</v>
      </c>
      <c r="AA624" s="32">
        <v>0</v>
      </c>
      <c r="AB624" s="32">
        <v>0</v>
      </c>
      <c r="AC624" s="32">
        <f t="shared" si="268"/>
        <v>0</v>
      </c>
      <c r="AD624" s="32">
        <v>100000</v>
      </c>
      <c r="AE624" s="32">
        <v>0</v>
      </c>
      <c r="AF624" s="35">
        <v>2021</v>
      </c>
      <c r="AG624" s="35" t="s">
        <v>275</v>
      </c>
      <c r="AH624" s="36" t="s">
        <v>275</v>
      </c>
    </row>
    <row r="625" spans="1:34" ht="61.5" x14ac:dyDescent="0.85">
      <c r="A625" s="21">
        <v>1</v>
      </c>
      <c r="B625" s="70">
        <f>SUBTOTAL(103,$A$535:A625)</f>
        <v>91</v>
      </c>
      <c r="C625" s="25" t="s">
        <v>631</v>
      </c>
      <c r="D625" s="32">
        <f t="shared" si="254"/>
        <v>120000.25</v>
      </c>
      <c r="E625" s="32">
        <v>0</v>
      </c>
      <c r="F625" s="32">
        <v>0</v>
      </c>
      <c r="G625" s="32">
        <v>0</v>
      </c>
      <c r="H625" s="32">
        <v>0</v>
      </c>
      <c r="I625" s="32">
        <v>0</v>
      </c>
      <c r="J625" s="32">
        <v>0</v>
      </c>
      <c r="K625" s="34">
        <v>0</v>
      </c>
      <c r="L625" s="32">
        <v>0</v>
      </c>
      <c r="M625" s="32">
        <v>0</v>
      </c>
      <c r="N625" s="32">
        <v>0</v>
      </c>
      <c r="O625" s="32">
        <v>0</v>
      </c>
      <c r="P625" s="32">
        <v>0</v>
      </c>
      <c r="Q625" s="32">
        <v>0</v>
      </c>
      <c r="R625" s="32">
        <v>0</v>
      </c>
      <c r="S625" s="32">
        <v>0</v>
      </c>
      <c r="T625" s="32">
        <v>0</v>
      </c>
      <c r="U625" s="32">
        <v>0</v>
      </c>
      <c r="V625" s="32">
        <v>0</v>
      </c>
      <c r="W625" s="32">
        <v>0</v>
      </c>
      <c r="X625" s="32">
        <v>0</v>
      </c>
      <c r="Y625" s="32">
        <v>0</v>
      </c>
      <c r="Z625" s="32">
        <v>0</v>
      </c>
      <c r="AA625" s="32">
        <v>0</v>
      </c>
      <c r="AB625" s="32">
        <v>0</v>
      </c>
      <c r="AC625" s="32">
        <f t="shared" si="268"/>
        <v>0</v>
      </c>
      <c r="AD625" s="32">
        <v>120000.25</v>
      </c>
      <c r="AE625" s="32">
        <v>0</v>
      </c>
      <c r="AF625" s="35">
        <v>2021</v>
      </c>
      <c r="AG625" s="35" t="s">
        <v>275</v>
      </c>
      <c r="AH625" s="36" t="s">
        <v>275</v>
      </c>
    </row>
    <row r="626" spans="1:34" ht="61.5" x14ac:dyDescent="0.85">
      <c r="A626" s="21">
        <v>1</v>
      </c>
      <c r="B626" s="70">
        <f>SUBTOTAL(103,$A$535:A626)</f>
        <v>92</v>
      </c>
      <c r="C626" s="25" t="s">
        <v>632</v>
      </c>
      <c r="D626" s="32">
        <f t="shared" si="254"/>
        <v>100000</v>
      </c>
      <c r="E626" s="32">
        <v>0</v>
      </c>
      <c r="F626" s="32">
        <v>0</v>
      </c>
      <c r="G626" s="32">
        <v>0</v>
      </c>
      <c r="H626" s="32">
        <v>0</v>
      </c>
      <c r="I626" s="32">
        <v>0</v>
      </c>
      <c r="J626" s="32">
        <v>0</v>
      </c>
      <c r="K626" s="34">
        <v>0</v>
      </c>
      <c r="L626" s="32">
        <v>0</v>
      </c>
      <c r="M626" s="32">
        <v>0</v>
      </c>
      <c r="N626" s="32">
        <v>0</v>
      </c>
      <c r="O626" s="32">
        <v>0</v>
      </c>
      <c r="P626" s="32">
        <v>0</v>
      </c>
      <c r="Q626" s="32">
        <v>0</v>
      </c>
      <c r="R626" s="32">
        <v>0</v>
      </c>
      <c r="S626" s="32">
        <v>0</v>
      </c>
      <c r="T626" s="32">
        <v>0</v>
      </c>
      <c r="U626" s="32">
        <v>0</v>
      </c>
      <c r="V626" s="32">
        <v>0</v>
      </c>
      <c r="W626" s="32">
        <v>0</v>
      </c>
      <c r="X626" s="32">
        <v>0</v>
      </c>
      <c r="Y626" s="32">
        <v>0</v>
      </c>
      <c r="Z626" s="32">
        <v>0</v>
      </c>
      <c r="AA626" s="32">
        <v>0</v>
      </c>
      <c r="AB626" s="32">
        <v>0</v>
      </c>
      <c r="AC626" s="32">
        <f t="shared" si="268"/>
        <v>0</v>
      </c>
      <c r="AD626" s="32">
        <v>100000</v>
      </c>
      <c r="AE626" s="32">
        <v>0</v>
      </c>
      <c r="AF626" s="35">
        <v>2021</v>
      </c>
      <c r="AG626" s="35" t="s">
        <v>275</v>
      </c>
      <c r="AH626" s="36" t="s">
        <v>275</v>
      </c>
    </row>
    <row r="627" spans="1:34" ht="61.5" x14ac:dyDescent="0.85">
      <c r="A627" s="21">
        <v>1</v>
      </c>
      <c r="B627" s="70">
        <f>SUBTOTAL(103,$A$535:A627)</f>
        <v>93</v>
      </c>
      <c r="C627" s="25" t="s">
        <v>633</v>
      </c>
      <c r="D627" s="32">
        <f t="shared" si="254"/>
        <v>100000</v>
      </c>
      <c r="E627" s="32">
        <v>0</v>
      </c>
      <c r="F627" s="32">
        <v>0</v>
      </c>
      <c r="G627" s="32">
        <v>0</v>
      </c>
      <c r="H627" s="32">
        <v>0</v>
      </c>
      <c r="I627" s="32">
        <v>0</v>
      </c>
      <c r="J627" s="32">
        <v>0</v>
      </c>
      <c r="K627" s="34">
        <v>0</v>
      </c>
      <c r="L627" s="32">
        <v>0</v>
      </c>
      <c r="M627" s="32">
        <v>0</v>
      </c>
      <c r="N627" s="32">
        <v>0</v>
      </c>
      <c r="O627" s="32">
        <v>0</v>
      </c>
      <c r="P627" s="32">
        <v>0</v>
      </c>
      <c r="Q627" s="32">
        <v>0</v>
      </c>
      <c r="R627" s="32">
        <v>0</v>
      </c>
      <c r="S627" s="32">
        <v>0</v>
      </c>
      <c r="T627" s="32">
        <v>0</v>
      </c>
      <c r="U627" s="32">
        <v>0</v>
      </c>
      <c r="V627" s="32">
        <v>0</v>
      </c>
      <c r="W627" s="32">
        <v>0</v>
      </c>
      <c r="X627" s="32">
        <v>0</v>
      </c>
      <c r="Y627" s="32">
        <v>0</v>
      </c>
      <c r="Z627" s="32">
        <v>0</v>
      </c>
      <c r="AA627" s="32">
        <v>0</v>
      </c>
      <c r="AB627" s="32">
        <v>0</v>
      </c>
      <c r="AC627" s="32">
        <f t="shared" si="268"/>
        <v>0</v>
      </c>
      <c r="AD627" s="32">
        <v>100000</v>
      </c>
      <c r="AE627" s="32">
        <v>0</v>
      </c>
      <c r="AF627" s="35">
        <v>2021</v>
      </c>
      <c r="AG627" s="35" t="s">
        <v>275</v>
      </c>
      <c r="AH627" s="36" t="s">
        <v>275</v>
      </c>
    </row>
    <row r="628" spans="1:34" ht="61.5" x14ac:dyDescent="0.85">
      <c r="A628" s="21">
        <v>1</v>
      </c>
      <c r="B628" s="70">
        <f>SUBTOTAL(103,$A$535:A628)</f>
        <v>94</v>
      </c>
      <c r="C628" s="25" t="s">
        <v>634</v>
      </c>
      <c r="D628" s="32">
        <f t="shared" si="254"/>
        <v>100000</v>
      </c>
      <c r="E628" s="32">
        <v>0</v>
      </c>
      <c r="F628" s="32">
        <v>0</v>
      </c>
      <c r="G628" s="32">
        <v>0</v>
      </c>
      <c r="H628" s="32">
        <v>0</v>
      </c>
      <c r="I628" s="32">
        <v>0</v>
      </c>
      <c r="J628" s="32">
        <v>0</v>
      </c>
      <c r="K628" s="34">
        <v>0</v>
      </c>
      <c r="L628" s="32">
        <v>0</v>
      </c>
      <c r="M628" s="32">
        <v>0</v>
      </c>
      <c r="N628" s="32">
        <v>0</v>
      </c>
      <c r="O628" s="32">
        <v>0</v>
      </c>
      <c r="P628" s="32">
        <v>0</v>
      </c>
      <c r="Q628" s="32">
        <v>0</v>
      </c>
      <c r="R628" s="32">
        <v>0</v>
      </c>
      <c r="S628" s="32">
        <v>0</v>
      </c>
      <c r="T628" s="32">
        <v>0</v>
      </c>
      <c r="U628" s="32">
        <v>0</v>
      </c>
      <c r="V628" s="32">
        <v>0</v>
      </c>
      <c r="W628" s="32">
        <v>0</v>
      </c>
      <c r="X628" s="32">
        <v>0</v>
      </c>
      <c r="Y628" s="32">
        <v>0</v>
      </c>
      <c r="Z628" s="32">
        <v>0</v>
      </c>
      <c r="AA628" s="32">
        <v>0</v>
      </c>
      <c r="AB628" s="32">
        <v>0</v>
      </c>
      <c r="AC628" s="32">
        <f t="shared" si="268"/>
        <v>0</v>
      </c>
      <c r="AD628" s="32">
        <v>100000</v>
      </c>
      <c r="AE628" s="32">
        <v>0</v>
      </c>
      <c r="AF628" s="35">
        <v>2021</v>
      </c>
      <c r="AG628" s="35" t="s">
        <v>275</v>
      </c>
      <c r="AH628" s="36" t="s">
        <v>275</v>
      </c>
    </row>
    <row r="629" spans="1:34" ht="61.5" x14ac:dyDescent="0.85">
      <c r="A629" s="21">
        <v>1</v>
      </c>
      <c r="B629" s="70">
        <f>SUBTOTAL(103,$A$535:A629)</f>
        <v>95</v>
      </c>
      <c r="C629" s="25" t="s">
        <v>635</v>
      </c>
      <c r="D629" s="32">
        <f t="shared" si="254"/>
        <v>100000</v>
      </c>
      <c r="E629" s="32">
        <v>0</v>
      </c>
      <c r="F629" s="32">
        <v>0</v>
      </c>
      <c r="G629" s="32">
        <v>0</v>
      </c>
      <c r="H629" s="32">
        <v>0</v>
      </c>
      <c r="I629" s="32">
        <v>0</v>
      </c>
      <c r="J629" s="32">
        <v>0</v>
      </c>
      <c r="K629" s="34">
        <v>0</v>
      </c>
      <c r="L629" s="32">
        <v>0</v>
      </c>
      <c r="M629" s="32">
        <v>0</v>
      </c>
      <c r="N629" s="32">
        <v>0</v>
      </c>
      <c r="O629" s="32">
        <v>0</v>
      </c>
      <c r="P629" s="32">
        <v>0</v>
      </c>
      <c r="Q629" s="32">
        <v>0</v>
      </c>
      <c r="R629" s="32">
        <v>0</v>
      </c>
      <c r="S629" s="32">
        <v>0</v>
      </c>
      <c r="T629" s="32">
        <v>0</v>
      </c>
      <c r="U629" s="32">
        <v>0</v>
      </c>
      <c r="V629" s="32">
        <v>0</v>
      </c>
      <c r="W629" s="32">
        <v>0</v>
      </c>
      <c r="X629" s="32">
        <v>0</v>
      </c>
      <c r="Y629" s="32">
        <v>0</v>
      </c>
      <c r="Z629" s="32">
        <v>0</v>
      </c>
      <c r="AA629" s="32">
        <v>0</v>
      </c>
      <c r="AB629" s="32">
        <v>0</v>
      </c>
      <c r="AC629" s="32">
        <f t="shared" si="268"/>
        <v>0</v>
      </c>
      <c r="AD629" s="32">
        <v>100000</v>
      </c>
      <c r="AE629" s="32">
        <v>0</v>
      </c>
      <c r="AF629" s="35">
        <v>2021</v>
      </c>
      <c r="AG629" s="35" t="s">
        <v>275</v>
      </c>
      <c r="AH629" s="36" t="s">
        <v>275</v>
      </c>
    </row>
    <row r="630" spans="1:34" ht="61.5" x14ac:dyDescent="0.85">
      <c r="A630" s="21">
        <v>1</v>
      </c>
      <c r="B630" s="70">
        <f>SUBTOTAL(103,$A$535:A630)</f>
        <v>96</v>
      </c>
      <c r="C630" s="25" t="s">
        <v>636</v>
      </c>
      <c r="D630" s="32">
        <f t="shared" si="254"/>
        <v>100000</v>
      </c>
      <c r="E630" s="32">
        <v>0</v>
      </c>
      <c r="F630" s="32">
        <v>0</v>
      </c>
      <c r="G630" s="32">
        <v>0</v>
      </c>
      <c r="H630" s="32">
        <v>0</v>
      </c>
      <c r="I630" s="32">
        <v>0</v>
      </c>
      <c r="J630" s="32">
        <v>0</v>
      </c>
      <c r="K630" s="34">
        <v>0</v>
      </c>
      <c r="L630" s="32">
        <v>0</v>
      </c>
      <c r="M630" s="32">
        <v>0</v>
      </c>
      <c r="N630" s="32">
        <v>0</v>
      </c>
      <c r="O630" s="32">
        <v>0</v>
      </c>
      <c r="P630" s="32">
        <v>0</v>
      </c>
      <c r="Q630" s="32">
        <v>0</v>
      </c>
      <c r="R630" s="32">
        <v>0</v>
      </c>
      <c r="S630" s="32">
        <v>0</v>
      </c>
      <c r="T630" s="32">
        <v>0</v>
      </c>
      <c r="U630" s="32">
        <v>0</v>
      </c>
      <c r="V630" s="32">
        <v>0</v>
      </c>
      <c r="W630" s="32">
        <v>0</v>
      </c>
      <c r="X630" s="32">
        <v>0</v>
      </c>
      <c r="Y630" s="32">
        <v>0</v>
      </c>
      <c r="Z630" s="32">
        <v>0</v>
      </c>
      <c r="AA630" s="32">
        <v>0</v>
      </c>
      <c r="AB630" s="32">
        <v>0</v>
      </c>
      <c r="AC630" s="32">
        <f t="shared" si="268"/>
        <v>0</v>
      </c>
      <c r="AD630" s="32">
        <v>100000</v>
      </c>
      <c r="AE630" s="32">
        <v>0</v>
      </c>
      <c r="AF630" s="35">
        <v>2021</v>
      </c>
      <c r="AG630" s="35" t="s">
        <v>275</v>
      </c>
      <c r="AH630" s="36" t="s">
        <v>275</v>
      </c>
    </row>
    <row r="631" spans="1:34" ht="61.5" x14ac:dyDescent="0.85">
      <c r="A631" s="21">
        <v>1</v>
      </c>
      <c r="B631" s="70">
        <f>SUBTOTAL(103,$A$535:A631)</f>
        <v>97</v>
      </c>
      <c r="C631" s="25" t="s">
        <v>637</v>
      </c>
      <c r="D631" s="32">
        <f t="shared" si="254"/>
        <v>100000</v>
      </c>
      <c r="E631" s="32">
        <v>0</v>
      </c>
      <c r="F631" s="32">
        <v>0</v>
      </c>
      <c r="G631" s="32">
        <v>0</v>
      </c>
      <c r="H631" s="32">
        <v>0</v>
      </c>
      <c r="I631" s="32">
        <v>0</v>
      </c>
      <c r="J631" s="32">
        <v>0</v>
      </c>
      <c r="K631" s="34">
        <v>0</v>
      </c>
      <c r="L631" s="32">
        <v>0</v>
      </c>
      <c r="M631" s="32">
        <v>0</v>
      </c>
      <c r="N631" s="32">
        <v>0</v>
      </c>
      <c r="O631" s="32">
        <v>0</v>
      </c>
      <c r="P631" s="32">
        <v>0</v>
      </c>
      <c r="Q631" s="32">
        <v>0</v>
      </c>
      <c r="R631" s="32">
        <v>0</v>
      </c>
      <c r="S631" s="32">
        <v>0</v>
      </c>
      <c r="T631" s="32">
        <v>0</v>
      </c>
      <c r="U631" s="32">
        <v>0</v>
      </c>
      <c r="V631" s="32">
        <v>0</v>
      </c>
      <c r="W631" s="32">
        <v>0</v>
      </c>
      <c r="X631" s="32">
        <v>0</v>
      </c>
      <c r="Y631" s="32">
        <v>0</v>
      </c>
      <c r="Z631" s="32">
        <v>0</v>
      </c>
      <c r="AA631" s="32">
        <v>0</v>
      </c>
      <c r="AB631" s="32">
        <v>0</v>
      </c>
      <c r="AC631" s="32">
        <f t="shared" si="268"/>
        <v>0</v>
      </c>
      <c r="AD631" s="32">
        <v>100000</v>
      </c>
      <c r="AE631" s="32">
        <v>0</v>
      </c>
      <c r="AF631" s="35">
        <v>2021</v>
      </c>
      <c r="AG631" s="35" t="s">
        <v>275</v>
      </c>
      <c r="AH631" s="36" t="s">
        <v>275</v>
      </c>
    </row>
    <row r="632" spans="1:34" ht="61.5" x14ac:dyDescent="0.85">
      <c r="A632" s="21">
        <v>1</v>
      </c>
      <c r="B632" s="70">
        <f>SUBTOTAL(103,$A$535:A632)</f>
        <v>98</v>
      </c>
      <c r="C632" s="25" t="s">
        <v>638</v>
      </c>
      <c r="D632" s="32">
        <f t="shared" si="254"/>
        <v>100000</v>
      </c>
      <c r="E632" s="32">
        <v>0</v>
      </c>
      <c r="F632" s="32">
        <v>0</v>
      </c>
      <c r="G632" s="32">
        <v>0</v>
      </c>
      <c r="H632" s="32">
        <v>0</v>
      </c>
      <c r="I632" s="32">
        <v>0</v>
      </c>
      <c r="J632" s="32">
        <v>0</v>
      </c>
      <c r="K632" s="34">
        <v>0</v>
      </c>
      <c r="L632" s="32">
        <v>0</v>
      </c>
      <c r="M632" s="32">
        <v>0</v>
      </c>
      <c r="N632" s="32">
        <v>0</v>
      </c>
      <c r="O632" s="32">
        <v>0</v>
      </c>
      <c r="P632" s="32">
        <v>0</v>
      </c>
      <c r="Q632" s="32">
        <v>0</v>
      </c>
      <c r="R632" s="32">
        <v>0</v>
      </c>
      <c r="S632" s="32">
        <v>0</v>
      </c>
      <c r="T632" s="32">
        <v>0</v>
      </c>
      <c r="U632" s="32">
        <v>0</v>
      </c>
      <c r="V632" s="32">
        <v>0</v>
      </c>
      <c r="W632" s="32">
        <v>0</v>
      </c>
      <c r="X632" s="32">
        <v>0</v>
      </c>
      <c r="Y632" s="32">
        <v>0</v>
      </c>
      <c r="Z632" s="32">
        <v>0</v>
      </c>
      <c r="AA632" s="32">
        <v>0</v>
      </c>
      <c r="AB632" s="32">
        <v>0</v>
      </c>
      <c r="AC632" s="32">
        <f t="shared" si="268"/>
        <v>0</v>
      </c>
      <c r="AD632" s="32">
        <v>100000</v>
      </c>
      <c r="AE632" s="32">
        <v>0</v>
      </c>
      <c r="AF632" s="35">
        <v>2021</v>
      </c>
      <c r="AG632" s="35" t="s">
        <v>275</v>
      </c>
      <c r="AH632" s="36" t="s">
        <v>275</v>
      </c>
    </row>
    <row r="633" spans="1:34" ht="61.5" x14ac:dyDescent="0.85">
      <c r="A633" s="21">
        <v>1</v>
      </c>
      <c r="B633" s="70">
        <f>SUBTOTAL(103,$A$535:A633)</f>
        <v>99</v>
      </c>
      <c r="C633" s="25" t="s">
        <v>639</v>
      </c>
      <c r="D633" s="32">
        <f t="shared" si="254"/>
        <v>100000</v>
      </c>
      <c r="E633" s="32">
        <v>0</v>
      </c>
      <c r="F633" s="32">
        <v>0</v>
      </c>
      <c r="G633" s="32">
        <v>0</v>
      </c>
      <c r="H633" s="32">
        <v>0</v>
      </c>
      <c r="I633" s="32">
        <v>0</v>
      </c>
      <c r="J633" s="32">
        <v>0</v>
      </c>
      <c r="K633" s="34">
        <v>0</v>
      </c>
      <c r="L633" s="32">
        <v>0</v>
      </c>
      <c r="M633" s="32">
        <v>0</v>
      </c>
      <c r="N633" s="32">
        <v>0</v>
      </c>
      <c r="O633" s="32">
        <v>0</v>
      </c>
      <c r="P633" s="32">
        <v>0</v>
      </c>
      <c r="Q633" s="32">
        <v>0</v>
      </c>
      <c r="R633" s="32">
        <v>0</v>
      </c>
      <c r="S633" s="32">
        <v>0</v>
      </c>
      <c r="T633" s="32">
        <v>0</v>
      </c>
      <c r="U633" s="32">
        <v>0</v>
      </c>
      <c r="V633" s="32">
        <v>0</v>
      </c>
      <c r="W633" s="32">
        <v>0</v>
      </c>
      <c r="X633" s="32">
        <v>0</v>
      </c>
      <c r="Y633" s="32">
        <v>0</v>
      </c>
      <c r="Z633" s="32">
        <v>0</v>
      </c>
      <c r="AA633" s="32">
        <v>0</v>
      </c>
      <c r="AB633" s="32">
        <v>0</v>
      </c>
      <c r="AC633" s="32">
        <f t="shared" si="268"/>
        <v>0</v>
      </c>
      <c r="AD633" s="32">
        <v>100000</v>
      </c>
      <c r="AE633" s="32">
        <v>0</v>
      </c>
      <c r="AF633" s="35">
        <v>2021</v>
      </c>
      <c r="AG633" s="35" t="s">
        <v>275</v>
      </c>
      <c r="AH633" s="36" t="s">
        <v>275</v>
      </c>
    </row>
    <row r="634" spans="1:34" ht="61.5" x14ac:dyDescent="0.85">
      <c r="A634" s="21">
        <v>1</v>
      </c>
      <c r="B634" s="70">
        <f>SUBTOTAL(103,$A$535:A634)</f>
        <v>100</v>
      </c>
      <c r="C634" s="25" t="s">
        <v>640</v>
      </c>
      <c r="D634" s="32">
        <f t="shared" si="254"/>
        <v>70000</v>
      </c>
      <c r="E634" s="32">
        <v>0</v>
      </c>
      <c r="F634" s="32">
        <v>0</v>
      </c>
      <c r="G634" s="32">
        <v>0</v>
      </c>
      <c r="H634" s="32">
        <v>0</v>
      </c>
      <c r="I634" s="32">
        <v>0</v>
      </c>
      <c r="J634" s="32">
        <v>0</v>
      </c>
      <c r="K634" s="34">
        <v>0</v>
      </c>
      <c r="L634" s="32">
        <v>0</v>
      </c>
      <c r="M634" s="32">
        <v>0</v>
      </c>
      <c r="N634" s="32">
        <v>0</v>
      </c>
      <c r="O634" s="32">
        <v>0</v>
      </c>
      <c r="P634" s="32">
        <v>0</v>
      </c>
      <c r="Q634" s="32">
        <v>0</v>
      </c>
      <c r="R634" s="32">
        <v>0</v>
      </c>
      <c r="S634" s="32">
        <v>0</v>
      </c>
      <c r="T634" s="32">
        <v>0</v>
      </c>
      <c r="U634" s="32">
        <v>0</v>
      </c>
      <c r="V634" s="32">
        <v>0</v>
      </c>
      <c r="W634" s="32">
        <v>0</v>
      </c>
      <c r="X634" s="32">
        <v>0</v>
      </c>
      <c r="Y634" s="32">
        <v>0</v>
      </c>
      <c r="Z634" s="32">
        <v>0</v>
      </c>
      <c r="AA634" s="32">
        <v>0</v>
      </c>
      <c r="AB634" s="32">
        <v>0</v>
      </c>
      <c r="AC634" s="32">
        <f t="shared" si="268"/>
        <v>0</v>
      </c>
      <c r="AD634" s="32">
        <v>70000</v>
      </c>
      <c r="AE634" s="32">
        <v>0</v>
      </c>
      <c r="AF634" s="35">
        <v>2021</v>
      </c>
      <c r="AG634" s="35" t="s">
        <v>275</v>
      </c>
      <c r="AH634" s="36" t="s">
        <v>275</v>
      </c>
    </row>
    <row r="635" spans="1:34" ht="61.5" x14ac:dyDescent="0.85">
      <c r="A635" s="21">
        <v>1</v>
      </c>
      <c r="B635" s="70">
        <f>SUBTOTAL(103,$A$535:A635)</f>
        <v>101</v>
      </c>
      <c r="C635" s="25" t="s">
        <v>641</v>
      </c>
      <c r="D635" s="32">
        <f t="shared" si="254"/>
        <v>100000</v>
      </c>
      <c r="E635" s="32">
        <v>0</v>
      </c>
      <c r="F635" s="32">
        <v>0</v>
      </c>
      <c r="G635" s="32">
        <v>0</v>
      </c>
      <c r="H635" s="32">
        <v>0</v>
      </c>
      <c r="I635" s="32">
        <v>0</v>
      </c>
      <c r="J635" s="32">
        <v>0</v>
      </c>
      <c r="K635" s="34">
        <v>0</v>
      </c>
      <c r="L635" s="32">
        <v>0</v>
      </c>
      <c r="M635" s="32">
        <v>0</v>
      </c>
      <c r="N635" s="32">
        <v>0</v>
      </c>
      <c r="O635" s="32">
        <v>0</v>
      </c>
      <c r="P635" s="32">
        <v>0</v>
      </c>
      <c r="Q635" s="32">
        <v>0</v>
      </c>
      <c r="R635" s="32">
        <v>0</v>
      </c>
      <c r="S635" s="32">
        <v>0</v>
      </c>
      <c r="T635" s="32">
        <v>0</v>
      </c>
      <c r="U635" s="32">
        <v>0</v>
      </c>
      <c r="V635" s="32">
        <v>0</v>
      </c>
      <c r="W635" s="32">
        <v>0</v>
      </c>
      <c r="X635" s="32">
        <v>0</v>
      </c>
      <c r="Y635" s="32">
        <v>0</v>
      </c>
      <c r="Z635" s="32">
        <v>0</v>
      </c>
      <c r="AA635" s="32">
        <v>0</v>
      </c>
      <c r="AB635" s="32">
        <v>0</v>
      </c>
      <c r="AC635" s="32">
        <f t="shared" si="268"/>
        <v>0</v>
      </c>
      <c r="AD635" s="32">
        <v>100000</v>
      </c>
      <c r="AE635" s="32">
        <v>0</v>
      </c>
      <c r="AF635" s="35">
        <v>2021</v>
      </c>
      <c r="AG635" s="35" t="s">
        <v>275</v>
      </c>
      <c r="AH635" s="36" t="s">
        <v>275</v>
      </c>
    </row>
    <row r="636" spans="1:34" ht="61.5" x14ac:dyDescent="0.85">
      <c r="A636" s="21">
        <v>1</v>
      </c>
      <c r="B636" s="70">
        <f>SUBTOTAL(103,$A$535:A636)</f>
        <v>102</v>
      </c>
      <c r="C636" s="25" t="s">
        <v>642</v>
      </c>
      <c r="D636" s="32">
        <f t="shared" si="254"/>
        <v>100000</v>
      </c>
      <c r="E636" s="32">
        <v>0</v>
      </c>
      <c r="F636" s="32">
        <v>0</v>
      </c>
      <c r="G636" s="32">
        <v>0</v>
      </c>
      <c r="H636" s="32">
        <v>0</v>
      </c>
      <c r="I636" s="32">
        <v>0</v>
      </c>
      <c r="J636" s="32">
        <v>0</v>
      </c>
      <c r="K636" s="34">
        <v>0</v>
      </c>
      <c r="L636" s="32">
        <v>0</v>
      </c>
      <c r="M636" s="32">
        <v>0</v>
      </c>
      <c r="N636" s="32">
        <v>0</v>
      </c>
      <c r="O636" s="32">
        <v>0</v>
      </c>
      <c r="P636" s="32">
        <v>0</v>
      </c>
      <c r="Q636" s="32">
        <v>0</v>
      </c>
      <c r="R636" s="32">
        <v>0</v>
      </c>
      <c r="S636" s="32">
        <v>0</v>
      </c>
      <c r="T636" s="32">
        <v>0</v>
      </c>
      <c r="U636" s="32">
        <v>0</v>
      </c>
      <c r="V636" s="32">
        <v>0</v>
      </c>
      <c r="W636" s="32">
        <v>0</v>
      </c>
      <c r="X636" s="32">
        <v>0</v>
      </c>
      <c r="Y636" s="32">
        <v>0</v>
      </c>
      <c r="Z636" s="32">
        <v>0</v>
      </c>
      <c r="AA636" s="32">
        <v>0</v>
      </c>
      <c r="AB636" s="32">
        <v>0</v>
      </c>
      <c r="AC636" s="32">
        <f t="shared" si="268"/>
        <v>0</v>
      </c>
      <c r="AD636" s="32">
        <v>100000</v>
      </c>
      <c r="AE636" s="32">
        <v>0</v>
      </c>
      <c r="AF636" s="35">
        <v>2021</v>
      </c>
      <c r="AG636" s="35" t="s">
        <v>275</v>
      </c>
      <c r="AH636" s="36" t="s">
        <v>275</v>
      </c>
    </row>
    <row r="637" spans="1:34" ht="61.5" x14ac:dyDescent="0.85">
      <c r="A637" s="21">
        <v>1</v>
      </c>
      <c r="B637" s="70">
        <f>SUBTOTAL(103,$A$535:A637)</f>
        <v>103</v>
      </c>
      <c r="C637" s="25" t="s">
        <v>643</v>
      </c>
      <c r="D637" s="32">
        <f t="shared" si="254"/>
        <v>100000</v>
      </c>
      <c r="E637" s="32">
        <v>0</v>
      </c>
      <c r="F637" s="32">
        <v>0</v>
      </c>
      <c r="G637" s="32">
        <v>0</v>
      </c>
      <c r="H637" s="32">
        <v>0</v>
      </c>
      <c r="I637" s="32">
        <v>0</v>
      </c>
      <c r="J637" s="32">
        <v>0</v>
      </c>
      <c r="K637" s="34">
        <v>0</v>
      </c>
      <c r="L637" s="32">
        <v>0</v>
      </c>
      <c r="M637" s="32">
        <v>0</v>
      </c>
      <c r="N637" s="32">
        <v>0</v>
      </c>
      <c r="O637" s="32">
        <v>0</v>
      </c>
      <c r="P637" s="32">
        <v>0</v>
      </c>
      <c r="Q637" s="32">
        <v>0</v>
      </c>
      <c r="R637" s="32">
        <v>0</v>
      </c>
      <c r="S637" s="32">
        <v>0</v>
      </c>
      <c r="T637" s="32">
        <v>0</v>
      </c>
      <c r="U637" s="32">
        <v>0</v>
      </c>
      <c r="V637" s="32">
        <v>0</v>
      </c>
      <c r="W637" s="32">
        <v>0</v>
      </c>
      <c r="X637" s="32">
        <v>0</v>
      </c>
      <c r="Y637" s="32">
        <v>0</v>
      </c>
      <c r="Z637" s="32">
        <v>0</v>
      </c>
      <c r="AA637" s="32">
        <v>0</v>
      </c>
      <c r="AB637" s="32">
        <v>0</v>
      </c>
      <c r="AC637" s="32">
        <f t="shared" si="268"/>
        <v>0</v>
      </c>
      <c r="AD637" s="32">
        <v>100000</v>
      </c>
      <c r="AE637" s="32">
        <v>0</v>
      </c>
      <c r="AF637" s="35">
        <v>2021</v>
      </c>
      <c r="AG637" s="35" t="s">
        <v>275</v>
      </c>
      <c r="AH637" s="36" t="s">
        <v>275</v>
      </c>
    </row>
    <row r="638" spans="1:34" ht="61.5" x14ac:dyDescent="0.85">
      <c r="A638" s="21">
        <v>1</v>
      </c>
      <c r="B638" s="70">
        <f>SUBTOTAL(103,$A$535:A638)</f>
        <v>104</v>
      </c>
      <c r="C638" s="25" t="s">
        <v>1489</v>
      </c>
      <c r="D638" s="32">
        <f t="shared" si="254"/>
        <v>163844.70000000001</v>
      </c>
      <c r="E638" s="32">
        <v>0</v>
      </c>
      <c r="F638" s="32">
        <v>0</v>
      </c>
      <c r="G638" s="32">
        <v>0</v>
      </c>
      <c r="H638" s="32">
        <v>0</v>
      </c>
      <c r="I638" s="32">
        <v>0</v>
      </c>
      <c r="J638" s="32">
        <v>0</v>
      </c>
      <c r="K638" s="34">
        <v>0</v>
      </c>
      <c r="L638" s="32">
        <v>0</v>
      </c>
      <c r="M638" s="32">
        <v>0</v>
      </c>
      <c r="N638" s="32">
        <v>0</v>
      </c>
      <c r="O638" s="32">
        <v>0</v>
      </c>
      <c r="P638" s="32">
        <v>0</v>
      </c>
      <c r="Q638" s="32">
        <v>0</v>
      </c>
      <c r="R638" s="32">
        <v>0</v>
      </c>
      <c r="S638" s="32">
        <v>0</v>
      </c>
      <c r="T638" s="32">
        <v>0</v>
      </c>
      <c r="U638" s="32">
        <v>0</v>
      </c>
      <c r="V638" s="32">
        <v>0</v>
      </c>
      <c r="W638" s="32">
        <v>0</v>
      </c>
      <c r="X638" s="32">
        <v>0</v>
      </c>
      <c r="Y638" s="32">
        <v>0</v>
      </c>
      <c r="Z638" s="32">
        <v>0</v>
      </c>
      <c r="AA638" s="32">
        <v>0</v>
      </c>
      <c r="AB638" s="32">
        <v>0</v>
      </c>
      <c r="AC638" s="32">
        <f t="shared" si="268"/>
        <v>0</v>
      </c>
      <c r="AD638" s="32">
        <v>163844.70000000001</v>
      </c>
      <c r="AE638" s="32">
        <v>0</v>
      </c>
      <c r="AF638" s="35">
        <v>2021</v>
      </c>
      <c r="AG638" s="35" t="s">
        <v>275</v>
      </c>
      <c r="AH638" s="36" t="s">
        <v>275</v>
      </c>
    </row>
    <row r="639" spans="1:34" ht="61.5" x14ac:dyDescent="0.85">
      <c r="A639" s="21">
        <v>1</v>
      </c>
      <c r="B639" s="70">
        <f>SUBTOTAL(103,$A$535:A639)</f>
        <v>105</v>
      </c>
      <c r="C639" s="25" t="s">
        <v>644</v>
      </c>
      <c r="D639" s="32">
        <f t="shared" si="254"/>
        <v>150000</v>
      </c>
      <c r="E639" s="32">
        <v>0</v>
      </c>
      <c r="F639" s="32">
        <v>0</v>
      </c>
      <c r="G639" s="32">
        <v>0</v>
      </c>
      <c r="H639" s="32">
        <v>0</v>
      </c>
      <c r="I639" s="32">
        <v>0</v>
      </c>
      <c r="J639" s="32">
        <v>0</v>
      </c>
      <c r="K639" s="34">
        <v>0</v>
      </c>
      <c r="L639" s="32">
        <v>0</v>
      </c>
      <c r="M639" s="32">
        <v>0</v>
      </c>
      <c r="N639" s="32">
        <v>0</v>
      </c>
      <c r="O639" s="32">
        <v>0</v>
      </c>
      <c r="P639" s="32">
        <v>0</v>
      </c>
      <c r="Q639" s="32">
        <v>0</v>
      </c>
      <c r="R639" s="32">
        <v>0</v>
      </c>
      <c r="S639" s="32">
        <v>0</v>
      </c>
      <c r="T639" s="32">
        <v>0</v>
      </c>
      <c r="U639" s="32">
        <v>0</v>
      </c>
      <c r="V639" s="32">
        <v>0</v>
      </c>
      <c r="W639" s="32">
        <v>0</v>
      </c>
      <c r="X639" s="32">
        <v>0</v>
      </c>
      <c r="Y639" s="32">
        <v>0</v>
      </c>
      <c r="Z639" s="32">
        <v>0</v>
      </c>
      <c r="AA639" s="32">
        <v>0</v>
      </c>
      <c r="AB639" s="32">
        <v>0</v>
      </c>
      <c r="AC639" s="32">
        <f t="shared" si="268"/>
        <v>0</v>
      </c>
      <c r="AD639" s="32">
        <v>150000</v>
      </c>
      <c r="AE639" s="32">
        <v>0</v>
      </c>
      <c r="AF639" s="35">
        <v>2021</v>
      </c>
      <c r="AG639" s="35" t="s">
        <v>275</v>
      </c>
      <c r="AH639" s="36" t="s">
        <v>275</v>
      </c>
    </row>
    <row r="640" spans="1:34" ht="61.5" x14ac:dyDescent="0.85">
      <c r="A640" s="21">
        <v>1</v>
      </c>
      <c r="B640" s="70">
        <f>SUBTOTAL(103,$A$535:A640)</f>
        <v>106</v>
      </c>
      <c r="C640" s="25" t="s">
        <v>645</v>
      </c>
      <c r="D640" s="32">
        <f t="shared" si="254"/>
        <v>100000</v>
      </c>
      <c r="E640" s="32">
        <v>0</v>
      </c>
      <c r="F640" s="32">
        <v>0</v>
      </c>
      <c r="G640" s="32">
        <v>0</v>
      </c>
      <c r="H640" s="32">
        <v>0</v>
      </c>
      <c r="I640" s="32">
        <v>0</v>
      </c>
      <c r="J640" s="32">
        <v>0</v>
      </c>
      <c r="K640" s="34">
        <v>0</v>
      </c>
      <c r="L640" s="32">
        <v>0</v>
      </c>
      <c r="M640" s="32">
        <v>0</v>
      </c>
      <c r="N640" s="32">
        <v>0</v>
      </c>
      <c r="O640" s="32">
        <v>0</v>
      </c>
      <c r="P640" s="32">
        <v>0</v>
      </c>
      <c r="Q640" s="32">
        <v>0</v>
      </c>
      <c r="R640" s="32">
        <v>0</v>
      </c>
      <c r="S640" s="32">
        <v>0</v>
      </c>
      <c r="T640" s="32">
        <v>0</v>
      </c>
      <c r="U640" s="32">
        <v>0</v>
      </c>
      <c r="V640" s="32">
        <v>0</v>
      </c>
      <c r="W640" s="32">
        <v>0</v>
      </c>
      <c r="X640" s="32">
        <v>0</v>
      </c>
      <c r="Y640" s="32">
        <v>0</v>
      </c>
      <c r="Z640" s="32">
        <v>0</v>
      </c>
      <c r="AA640" s="32">
        <v>0</v>
      </c>
      <c r="AB640" s="32">
        <v>0</v>
      </c>
      <c r="AC640" s="32">
        <f t="shared" si="268"/>
        <v>0</v>
      </c>
      <c r="AD640" s="32">
        <v>100000</v>
      </c>
      <c r="AE640" s="32">
        <v>0</v>
      </c>
      <c r="AF640" s="35">
        <v>2021</v>
      </c>
      <c r="AG640" s="35" t="s">
        <v>275</v>
      </c>
      <c r="AH640" s="36" t="s">
        <v>275</v>
      </c>
    </row>
    <row r="641" spans="1:46" ht="61.5" x14ac:dyDescent="0.85">
      <c r="A641" s="21">
        <v>1</v>
      </c>
      <c r="B641" s="70">
        <f>SUBTOTAL(103,$A$535:A641)</f>
        <v>107</v>
      </c>
      <c r="C641" s="25" t="s">
        <v>646</v>
      </c>
      <c r="D641" s="32">
        <f t="shared" si="254"/>
        <v>100000</v>
      </c>
      <c r="E641" s="32">
        <v>0</v>
      </c>
      <c r="F641" s="32">
        <v>0</v>
      </c>
      <c r="G641" s="32">
        <v>0</v>
      </c>
      <c r="H641" s="32">
        <v>0</v>
      </c>
      <c r="I641" s="32">
        <v>0</v>
      </c>
      <c r="J641" s="32">
        <v>0</v>
      </c>
      <c r="K641" s="34">
        <v>0</v>
      </c>
      <c r="L641" s="32">
        <v>0</v>
      </c>
      <c r="M641" s="32">
        <v>0</v>
      </c>
      <c r="N641" s="32">
        <v>0</v>
      </c>
      <c r="O641" s="32">
        <v>0</v>
      </c>
      <c r="P641" s="32">
        <v>0</v>
      </c>
      <c r="Q641" s="32">
        <v>0</v>
      </c>
      <c r="R641" s="32">
        <v>0</v>
      </c>
      <c r="S641" s="32">
        <v>0</v>
      </c>
      <c r="T641" s="32">
        <v>0</v>
      </c>
      <c r="U641" s="32">
        <v>0</v>
      </c>
      <c r="V641" s="32">
        <v>0</v>
      </c>
      <c r="W641" s="32">
        <v>0</v>
      </c>
      <c r="X641" s="32">
        <v>0</v>
      </c>
      <c r="Y641" s="32">
        <v>0</v>
      </c>
      <c r="Z641" s="32">
        <v>0</v>
      </c>
      <c r="AA641" s="32">
        <v>0</v>
      </c>
      <c r="AB641" s="32">
        <v>0</v>
      </c>
      <c r="AC641" s="32">
        <f t="shared" si="268"/>
        <v>0</v>
      </c>
      <c r="AD641" s="32">
        <v>100000</v>
      </c>
      <c r="AE641" s="32">
        <v>0</v>
      </c>
      <c r="AF641" s="35">
        <v>2021</v>
      </c>
      <c r="AG641" s="35" t="s">
        <v>275</v>
      </c>
      <c r="AH641" s="36" t="s">
        <v>275</v>
      </c>
    </row>
    <row r="642" spans="1:46" ht="61.5" x14ac:dyDescent="0.85">
      <c r="A642" s="21">
        <v>1</v>
      </c>
      <c r="B642" s="70">
        <f>SUBTOTAL(103,$A$535:A642)</f>
        <v>108</v>
      </c>
      <c r="C642" s="25" t="s">
        <v>647</v>
      </c>
      <c r="D642" s="32">
        <f t="shared" si="254"/>
        <v>100000</v>
      </c>
      <c r="E642" s="32">
        <v>0</v>
      </c>
      <c r="F642" s="32">
        <v>0</v>
      </c>
      <c r="G642" s="32">
        <v>0</v>
      </c>
      <c r="H642" s="32">
        <v>0</v>
      </c>
      <c r="I642" s="32">
        <v>0</v>
      </c>
      <c r="J642" s="32">
        <v>0</v>
      </c>
      <c r="K642" s="34">
        <v>0</v>
      </c>
      <c r="L642" s="32">
        <v>0</v>
      </c>
      <c r="M642" s="32">
        <v>0</v>
      </c>
      <c r="N642" s="32">
        <v>0</v>
      </c>
      <c r="O642" s="32">
        <v>0</v>
      </c>
      <c r="P642" s="32">
        <v>0</v>
      </c>
      <c r="Q642" s="32">
        <v>0</v>
      </c>
      <c r="R642" s="32">
        <v>0</v>
      </c>
      <c r="S642" s="32">
        <v>0</v>
      </c>
      <c r="T642" s="32">
        <v>0</v>
      </c>
      <c r="U642" s="32">
        <v>0</v>
      </c>
      <c r="V642" s="32">
        <v>0</v>
      </c>
      <c r="W642" s="32">
        <v>0</v>
      </c>
      <c r="X642" s="32">
        <v>0</v>
      </c>
      <c r="Y642" s="32">
        <v>0</v>
      </c>
      <c r="Z642" s="32">
        <v>0</v>
      </c>
      <c r="AA642" s="32">
        <v>0</v>
      </c>
      <c r="AB642" s="32">
        <v>0</v>
      </c>
      <c r="AC642" s="32">
        <f t="shared" si="268"/>
        <v>0</v>
      </c>
      <c r="AD642" s="32">
        <v>100000</v>
      </c>
      <c r="AE642" s="32">
        <v>0</v>
      </c>
      <c r="AF642" s="35">
        <v>2021</v>
      </c>
      <c r="AG642" s="35" t="s">
        <v>275</v>
      </c>
      <c r="AH642" s="36" t="s">
        <v>275</v>
      </c>
    </row>
    <row r="643" spans="1:46" ht="61.5" x14ac:dyDescent="0.85">
      <c r="A643" s="21">
        <v>1</v>
      </c>
      <c r="B643" s="70">
        <f>SUBTOTAL(103,$A$535:A643)</f>
        <v>109</v>
      </c>
      <c r="C643" s="25" t="s">
        <v>648</v>
      </c>
      <c r="D643" s="32">
        <f t="shared" si="254"/>
        <v>100000</v>
      </c>
      <c r="E643" s="32">
        <v>0</v>
      </c>
      <c r="F643" s="32">
        <v>0</v>
      </c>
      <c r="G643" s="32">
        <v>0</v>
      </c>
      <c r="H643" s="32">
        <v>0</v>
      </c>
      <c r="I643" s="32">
        <v>0</v>
      </c>
      <c r="J643" s="32">
        <v>0</v>
      </c>
      <c r="K643" s="34">
        <v>0</v>
      </c>
      <c r="L643" s="32">
        <v>0</v>
      </c>
      <c r="M643" s="32">
        <v>0</v>
      </c>
      <c r="N643" s="32">
        <v>0</v>
      </c>
      <c r="O643" s="32">
        <v>0</v>
      </c>
      <c r="P643" s="32">
        <v>0</v>
      </c>
      <c r="Q643" s="32">
        <v>0</v>
      </c>
      <c r="R643" s="32">
        <v>0</v>
      </c>
      <c r="S643" s="32">
        <v>0</v>
      </c>
      <c r="T643" s="32">
        <v>0</v>
      </c>
      <c r="U643" s="32">
        <v>0</v>
      </c>
      <c r="V643" s="32">
        <v>0</v>
      </c>
      <c r="W643" s="32">
        <v>0</v>
      </c>
      <c r="X643" s="32">
        <v>0</v>
      </c>
      <c r="Y643" s="32">
        <v>0</v>
      </c>
      <c r="Z643" s="32">
        <v>0</v>
      </c>
      <c r="AA643" s="32">
        <v>0</v>
      </c>
      <c r="AB643" s="32">
        <v>0</v>
      </c>
      <c r="AC643" s="32">
        <f t="shared" si="268"/>
        <v>0</v>
      </c>
      <c r="AD643" s="32">
        <v>100000</v>
      </c>
      <c r="AE643" s="32">
        <v>0</v>
      </c>
      <c r="AF643" s="35">
        <v>2021</v>
      </c>
      <c r="AG643" s="35" t="s">
        <v>275</v>
      </c>
      <c r="AH643" s="36" t="s">
        <v>275</v>
      </c>
    </row>
    <row r="644" spans="1:46" ht="61.5" x14ac:dyDescent="0.85">
      <c r="A644" s="21">
        <v>1</v>
      </c>
      <c r="B644" s="70">
        <f>SUBTOTAL(103,$A$535:A644)</f>
        <v>110</v>
      </c>
      <c r="C644" s="25" t="s">
        <v>649</v>
      </c>
      <c r="D644" s="32">
        <f t="shared" si="254"/>
        <v>100000</v>
      </c>
      <c r="E644" s="32">
        <v>0</v>
      </c>
      <c r="F644" s="32">
        <v>0</v>
      </c>
      <c r="G644" s="32">
        <v>0</v>
      </c>
      <c r="H644" s="32">
        <v>0</v>
      </c>
      <c r="I644" s="32">
        <v>0</v>
      </c>
      <c r="J644" s="32">
        <v>0</v>
      </c>
      <c r="K644" s="34">
        <v>0</v>
      </c>
      <c r="L644" s="32">
        <v>0</v>
      </c>
      <c r="M644" s="32">
        <v>0</v>
      </c>
      <c r="N644" s="32">
        <v>0</v>
      </c>
      <c r="O644" s="32">
        <v>0</v>
      </c>
      <c r="P644" s="32">
        <v>0</v>
      </c>
      <c r="Q644" s="32">
        <v>0</v>
      </c>
      <c r="R644" s="32">
        <v>0</v>
      </c>
      <c r="S644" s="32">
        <v>0</v>
      </c>
      <c r="T644" s="32">
        <v>0</v>
      </c>
      <c r="U644" s="32">
        <v>0</v>
      </c>
      <c r="V644" s="32">
        <v>0</v>
      </c>
      <c r="W644" s="32">
        <v>0</v>
      </c>
      <c r="X644" s="32">
        <v>0</v>
      </c>
      <c r="Y644" s="32">
        <v>0</v>
      </c>
      <c r="Z644" s="32">
        <v>0</v>
      </c>
      <c r="AA644" s="32">
        <v>0</v>
      </c>
      <c r="AB644" s="32">
        <v>0</v>
      </c>
      <c r="AC644" s="32">
        <f t="shared" si="268"/>
        <v>0</v>
      </c>
      <c r="AD644" s="32">
        <v>100000</v>
      </c>
      <c r="AE644" s="32">
        <v>0</v>
      </c>
      <c r="AF644" s="35">
        <v>2021</v>
      </c>
      <c r="AG644" s="35" t="s">
        <v>275</v>
      </c>
      <c r="AH644" s="36" t="s">
        <v>275</v>
      </c>
    </row>
    <row r="645" spans="1:46" ht="61.5" x14ac:dyDescent="0.85">
      <c r="A645" s="21">
        <v>1</v>
      </c>
      <c r="B645" s="70">
        <f>SUBTOTAL(103,$A$535:A645)</f>
        <v>111</v>
      </c>
      <c r="C645" s="25" t="s">
        <v>650</v>
      </c>
      <c r="D645" s="32">
        <f t="shared" si="254"/>
        <v>100000</v>
      </c>
      <c r="E645" s="32">
        <v>0</v>
      </c>
      <c r="F645" s="32">
        <v>0</v>
      </c>
      <c r="G645" s="32">
        <v>0</v>
      </c>
      <c r="H645" s="32">
        <v>0</v>
      </c>
      <c r="I645" s="32">
        <v>0</v>
      </c>
      <c r="J645" s="32">
        <v>0</v>
      </c>
      <c r="K645" s="34">
        <v>0</v>
      </c>
      <c r="L645" s="32">
        <v>0</v>
      </c>
      <c r="M645" s="32">
        <v>0</v>
      </c>
      <c r="N645" s="32">
        <v>0</v>
      </c>
      <c r="O645" s="32">
        <v>0</v>
      </c>
      <c r="P645" s="32">
        <v>0</v>
      </c>
      <c r="Q645" s="32">
        <v>0</v>
      </c>
      <c r="R645" s="32">
        <v>0</v>
      </c>
      <c r="S645" s="32">
        <v>0</v>
      </c>
      <c r="T645" s="32">
        <v>0</v>
      </c>
      <c r="U645" s="32">
        <v>0</v>
      </c>
      <c r="V645" s="32">
        <v>0</v>
      </c>
      <c r="W645" s="32">
        <v>0</v>
      </c>
      <c r="X645" s="32">
        <v>0</v>
      </c>
      <c r="Y645" s="32">
        <v>0</v>
      </c>
      <c r="Z645" s="32">
        <v>0</v>
      </c>
      <c r="AA645" s="32">
        <v>0</v>
      </c>
      <c r="AB645" s="32">
        <v>0</v>
      </c>
      <c r="AC645" s="32">
        <f t="shared" si="268"/>
        <v>0</v>
      </c>
      <c r="AD645" s="32">
        <v>100000</v>
      </c>
      <c r="AE645" s="32">
        <v>0</v>
      </c>
      <c r="AF645" s="35">
        <v>2021</v>
      </c>
      <c r="AG645" s="35" t="s">
        <v>275</v>
      </c>
      <c r="AH645" s="36" t="s">
        <v>275</v>
      </c>
    </row>
    <row r="646" spans="1:46" ht="61.5" x14ac:dyDescent="0.85">
      <c r="A646" s="21">
        <v>1</v>
      </c>
      <c r="B646" s="70">
        <f>SUBTOTAL(103,$A$535:A646)</f>
        <v>112</v>
      </c>
      <c r="C646" s="25" t="s">
        <v>518</v>
      </c>
      <c r="D646" s="32">
        <f t="shared" si="254"/>
        <v>80000</v>
      </c>
      <c r="E646" s="32">
        <v>0</v>
      </c>
      <c r="F646" s="32">
        <v>0</v>
      </c>
      <c r="G646" s="32">
        <v>0</v>
      </c>
      <c r="H646" s="32">
        <v>0</v>
      </c>
      <c r="I646" s="32">
        <v>0</v>
      </c>
      <c r="J646" s="32">
        <v>0</v>
      </c>
      <c r="K646" s="34">
        <v>0</v>
      </c>
      <c r="L646" s="32">
        <v>0</v>
      </c>
      <c r="M646" s="32">
        <v>0</v>
      </c>
      <c r="N646" s="32">
        <v>0</v>
      </c>
      <c r="O646" s="32">
        <v>0</v>
      </c>
      <c r="P646" s="32">
        <v>0</v>
      </c>
      <c r="Q646" s="32">
        <v>0</v>
      </c>
      <c r="R646" s="32">
        <v>0</v>
      </c>
      <c r="S646" s="32">
        <v>0</v>
      </c>
      <c r="T646" s="32">
        <v>0</v>
      </c>
      <c r="U646" s="32">
        <v>0</v>
      </c>
      <c r="V646" s="32">
        <v>0</v>
      </c>
      <c r="W646" s="32">
        <v>0</v>
      </c>
      <c r="X646" s="32">
        <v>0</v>
      </c>
      <c r="Y646" s="32">
        <v>0</v>
      </c>
      <c r="Z646" s="32">
        <v>0</v>
      </c>
      <c r="AA646" s="32">
        <v>0</v>
      </c>
      <c r="AB646" s="32">
        <v>0</v>
      </c>
      <c r="AC646" s="32">
        <f t="shared" si="268"/>
        <v>0</v>
      </c>
      <c r="AD646" s="32">
        <v>80000</v>
      </c>
      <c r="AE646" s="32">
        <v>0</v>
      </c>
      <c r="AF646" s="35">
        <v>2021</v>
      </c>
      <c r="AG646" s="35" t="s">
        <v>275</v>
      </c>
      <c r="AH646" s="36" t="s">
        <v>275</v>
      </c>
    </row>
    <row r="647" spans="1:46" ht="61.5" x14ac:dyDescent="0.85">
      <c r="A647" s="21">
        <v>1</v>
      </c>
      <c r="B647" s="70">
        <f>SUBTOTAL(103,$A$535:A647)</f>
        <v>113</v>
      </c>
      <c r="C647" s="25" t="s">
        <v>1144</v>
      </c>
      <c r="D647" s="32">
        <f t="shared" si="254"/>
        <v>100000</v>
      </c>
      <c r="E647" s="32">
        <v>0</v>
      </c>
      <c r="F647" s="32">
        <v>0</v>
      </c>
      <c r="G647" s="32">
        <v>0</v>
      </c>
      <c r="H647" s="32">
        <v>0</v>
      </c>
      <c r="I647" s="32">
        <v>0</v>
      </c>
      <c r="J647" s="32">
        <v>0</v>
      </c>
      <c r="K647" s="34">
        <v>0</v>
      </c>
      <c r="L647" s="32">
        <v>0</v>
      </c>
      <c r="M647" s="32">
        <v>0</v>
      </c>
      <c r="N647" s="32">
        <v>0</v>
      </c>
      <c r="O647" s="32">
        <v>0</v>
      </c>
      <c r="P647" s="32">
        <v>0</v>
      </c>
      <c r="Q647" s="32">
        <v>0</v>
      </c>
      <c r="R647" s="32">
        <v>0</v>
      </c>
      <c r="S647" s="32">
        <v>0</v>
      </c>
      <c r="T647" s="32">
        <v>0</v>
      </c>
      <c r="U647" s="32">
        <v>0</v>
      </c>
      <c r="V647" s="32">
        <v>0</v>
      </c>
      <c r="W647" s="32">
        <v>0</v>
      </c>
      <c r="X647" s="32">
        <v>0</v>
      </c>
      <c r="Y647" s="32">
        <v>0</v>
      </c>
      <c r="Z647" s="32">
        <v>0</v>
      </c>
      <c r="AA647" s="32">
        <v>0</v>
      </c>
      <c r="AB647" s="32">
        <v>0</v>
      </c>
      <c r="AC647" s="32">
        <f t="shared" si="268"/>
        <v>0</v>
      </c>
      <c r="AD647" s="32">
        <v>100000</v>
      </c>
      <c r="AE647" s="32">
        <v>0</v>
      </c>
      <c r="AF647" s="35">
        <v>2021</v>
      </c>
      <c r="AG647" s="35" t="s">
        <v>275</v>
      </c>
      <c r="AH647" s="36" t="s">
        <v>275</v>
      </c>
    </row>
    <row r="648" spans="1:46" ht="61.5" x14ac:dyDescent="0.85">
      <c r="B648" s="25" t="s">
        <v>806</v>
      </c>
      <c r="C648" s="110"/>
      <c r="D648" s="32">
        <f t="shared" ref="D648:AE648" si="269">SUM(D649:D660)</f>
        <v>45254826.330000006</v>
      </c>
      <c r="E648" s="32">
        <f t="shared" si="269"/>
        <v>177249.6</v>
      </c>
      <c r="F648" s="32">
        <f t="shared" si="269"/>
        <v>0</v>
      </c>
      <c r="G648" s="32">
        <f t="shared" si="269"/>
        <v>2456692.4499999997</v>
      </c>
      <c r="H648" s="32">
        <f t="shared" si="269"/>
        <v>0</v>
      </c>
      <c r="I648" s="32">
        <f t="shared" si="269"/>
        <v>485121.6</v>
      </c>
      <c r="J648" s="32">
        <f t="shared" si="269"/>
        <v>0</v>
      </c>
      <c r="K648" s="34">
        <f t="shared" si="269"/>
        <v>0</v>
      </c>
      <c r="L648" s="32">
        <f t="shared" si="269"/>
        <v>0</v>
      </c>
      <c r="M648" s="32">
        <f t="shared" si="269"/>
        <v>8714.27</v>
      </c>
      <c r="N648" s="32">
        <f t="shared" si="269"/>
        <v>37213398.330000006</v>
      </c>
      <c r="O648" s="32">
        <f t="shared" si="269"/>
        <v>0</v>
      </c>
      <c r="P648" s="32">
        <f t="shared" si="269"/>
        <v>0</v>
      </c>
      <c r="Q648" s="32">
        <f t="shared" si="269"/>
        <v>848.54</v>
      </c>
      <c r="R648" s="32">
        <f t="shared" si="269"/>
        <v>2342243.7599999998</v>
      </c>
      <c r="S648" s="32">
        <f t="shared" si="269"/>
        <v>0</v>
      </c>
      <c r="T648" s="32">
        <f t="shared" si="269"/>
        <v>0</v>
      </c>
      <c r="U648" s="32">
        <f t="shared" si="269"/>
        <v>0</v>
      </c>
      <c r="V648" s="32">
        <f t="shared" si="269"/>
        <v>0</v>
      </c>
      <c r="W648" s="32">
        <f t="shared" si="269"/>
        <v>0</v>
      </c>
      <c r="X648" s="32">
        <f t="shared" si="269"/>
        <v>0</v>
      </c>
      <c r="Y648" s="32">
        <f t="shared" si="269"/>
        <v>0</v>
      </c>
      <c r="Z648" s="32">
        <f t="shared" si="269"/>
        <v>0</v>
      </c>
      <c r="AA648" s="32">
        <f t="shared" si="269"/>
        <v>0</v>
      </c>
      <c r="AB648" s="32">
        <f t="shared" si="269"/>
        <v>0</v>
      </c>
      <c r="AC648" s="32">
        <f t="shared" si="269"/>
        <v>640120.59</v>
      </c>
      <c r="AD648" s="32">
        <f t="shared" si="269"/>
        <v>1940000</v>
      </c>
      <c r="AE648" s="32">
        <f t="shared" si="269"/>
        <v>0</v>
      </c>
      <c r="AF648" s="77" t="s">
        <v>801</v>
      </c>
      <c r="AG648" s="77" t="s">
        <v>801</v>
      </c>
      <c r="AH648" s="107" t="s">
        <v>801</v>
      </c>
      <c r="AT648" s="21" t="e">
        <f t="shared" ref="AT648:AT689" si="270">VLOOKUP(C648,AW:AX,2,FALSE)</f>
        <v>#N/A</v>
      </c>
    </row>
    <row r="649" spans="1:46" ht="61.5" x14ac:dyDescent="0.85">
      <c r="A649" s="21">
        <v>1</v>
      </c>
      <c r="B649" s="70">
        <f>SUBTOTAL(103,$A$535:A649)</f>
        <v>114</v>
      </c>
      <c r="C649" s="25" t="s">
        <v>475</v>
      </c>
      <c r="D649" s="32">
        <f t="shared" ref="D649:D660" si="271">E649+F649+G649+H649+I649+J649+L649+N649+P649+R649+T649+U649+V649+W649+X649+Y649+Z649+AA649+AB649+AC649+AD649+AE649</f>
        <v>4823597.0600000005</v>
      </c>
      <c r="E649" s="32">
        <v>0</v>
      </c>
      <c r="F649" s="32">
        <v>0</v>
      </c>
      <c r="G649" s="32">
        <v>0</v>
      </c>
      <c r="H649" s="32">
        <v>0</v>
      </c>
      <c r="I649" s="32">
        <v>0</v>
      </c>
      <c r="J649" s="32">
        <v>0</v>
      </c>
      <c r="K649" s="34">
        <v>0</v>
      </c>
      <c r="L649" s="32">
        <v>0</v>
      </c>
      <c r="M649" s="32">
        <v>762</v>
      </c>
      <c r="N649" s="32">
        <v>4604529.12</v>
      </c>
      <c r="O649" s="32">
        <v>0</v>
      </c>
      <c r="P649" s="32">
        <v>0</v>
      </c>
      <c r="Q649" s="32">
        <v>0</v>
      </c>
      <c r="R649" s="32">
        <v>0</v>
      </c>
      <c r="S649" s="32">
        <v>0</v>
      </c>
      <c r="T649" s="32">
        <v>0</v>
      </c>
      <c r="U649" s="32">
        <v>0</v>
      </c>
      <c r="V649" s="32">
        <v>0</v>
      </c>
      <c r="W649" s="32">
        <v>0</v>
      </c>
      <c r="X649" s="32">
        <v>0</v>
      </c>
      <c r="Y649" s="32">
        <v>0</v>
      </c>
      <c r="Z649" s="32">
        <v>0</v>
      </c>
      <c r="AA649" s="32">
        <v>0</v>
      </c>
      <c r="AB649" s="32">
        <v>0</v>
      </c>
      <c r="AC649" s="32">
        <f t="shared" ref="AC649:AC650" si="272">ROUND(N649*1.5%,2)</f>
        <v>69067.94</v>
      </c>
      <c r="AD649" s="32">
        <v>150000</v>
      </c>
      <c r="AE649" s="32">
        <v>0</v>
      </c>
      <c r="AF649" s="35">
        <v>2021</v>
      </c>
      <c r="AG649" s="35">
        <v>2021</v>
      </c>
      <c r="AH649" s="36">
        <v>2021</v>
      </c>
      <c r="AT649" s="21" t="e">
        <f t="shared" si="270"/>
        <v>#N/A</v>
      </c>
    </row>
    <row r="650" spans="1:46" ht="61.5" x14ac:dyDescent="0.85">
      <c r="A650" s="21">
        <v>1</v>
      </c>
      <c r="B650" s="70">
        <f>SUBTOTAL(103,$A$535:A650)</f>
        <v>115</v>
      </c>
      <c r="C650" s="25" t="s">
        <v>476</v>
      </c>
      <c r="D650" s="32">
        <f t="shared" si="271"/>
        <v>3616357.54</v>
      </c>
      <c r="E650" s="32">
        <v>0</v>
      </c>
      <c r="F650" s="32">
        <v>0</v>
      </c>
      <c r="G650" s="32">
        <v>0</v>
      </c>
      <c r="H650" s="32">
        <v>0</v>
      </c>
      <c r="I650" s="32">
        <v>0</v>
      </c>
      <c r="J650" s="32">
        <v>0</v>
      </c>
      <c r="K650" s="34">
        <v>0</v>
      </c>
      <c r="L650" s="32">
        <v>0</v>
      </c>
      <c r="M650" s="32">
        <v>620.9</v>
      </c>
      <c r="N650" s="32">
        <v>3415130.58</v>
      </c>
      <c r="O650" s="32">
        <v>0</v>
      </c>
      <c r="P650" s="32">
        <v>0</v>
      </c>
      <c r="Q650" s="32">
        <v>0</v>
      </c>
      <c r="R650" s="32">
        <v>0</v>
      </c>
      <c r="S650" s="32">
        <v>0</v>
      </c>
      <c r="T650" s="32">
        <v>0</v>
      </c>
      <c r="U650" s="32">
        <v>0</v>
      </c>
      <c r="V650" s="32">
        <v>0</v>
      </c>
      <c r="W650" s="32">
        <v>0</v>
      </c>
      <c r="X650" s="32">
        <v>0</v>
      </c>
      <c r="Y650" s="32">
        <v>0</v>
      </c>
      <c r="Z650" s="32">
        <v>0</v>
      </c>
      <c r="AA650" s="32">
        <v>0</v>
      </c>
      <c r="AB650" s="32">
        <v>0</v>
      </c>
      <c r="AC650" s="32">
        <f t="shared" si="272"/>
        <v>51226.96</v>
      </c>
      <c r="AD650" s="32">
        <v>150000</v>
      </c>
      <c r="AE650" s="32">
        <v>0</v>
      </c>
      <c r="AF650" s="35">
        <v>2021</v>
      </c>
      <c r="AG650" s="35">
        <v>2021</v>
      </c>
      <c r="AH650" s="36">
        <v>2021</v>
      </c>
      <c r="AT650" s="21" t="e">
        <f t="shared" si="270"/>
        <v>#N/A</v>
      </c>
    </row>
    <row r="651" spans="1:46" ht="61.5" x14ac:dyDescent="0.85">
      <c r="A651" s="21">
        <v>1</v>
      </c>
      <c r="B651" s="70">
        <f>SUBTOTAL(103,$A$535:A651)</f>
        <v>116</v>
      </c>
      <c r="C651" s="25" t="s">
        <v>477</v>
      </c>
      <c r="D651" s="32">
        <f t="shared" si="271"/>
        <v>1638422.64</v>
      </c>
      <c r="E651" s="32">
        <v>0</v>
      </c>
      <c r="F651" s="32">
        <v>0</v>
      </c>
      <c r="G651" s="32">
        <v>0</v>
      </c>
      <c r="H651" s="32">
        <v>0</v>
      </c>
      <c r="I651" s="32">
        <v>0</v>
      </c>
      <c r="J651" s="32">
        <v>0</v>
      </c>
      <c r="K651" s="34">
        <v>0</v>
      </c>
      <c r="L651" s="32">
        <v>0</v>
      </c>
      <c r="M651" s="32">
        <v>0</v>
      </c>
      <c r="N651" s="32">
        <v>0</v>
      </c>
      <c r="O651" s="32">
        <v>0</v>
      </c>
      <c r="P651" s="32">
        <v>0</v>
      </c>
      <c r="Q651" s="32">
        <v>439.04</v>
      </c>
      <c r="R651" s="32">
        <v>1486130.68</v>
      </c>
      <c r="S651" s="32">
        <v>0</v>
      </c>
      <c r="T651" s="32">
        <v>0</v>
      </c>
      <c r="U651" s="32">
        <v>0</v>
      </c>
      <c r="V651" s="32">
        <v>0</v>
      </c>
      <c r="W651" s="32">
        <v>0</v>
      </c>
      <c r="X651" s="32">
        <v>0</v>
      </c>
      <c r="Y651" s="32">
        <v>0</v>
      </c>
      <c r="Z651" s="32">
        <v>0</v>
      </c>
      <c r="AA651" s="32">
        <v>0</v>
      </c>
      <c r="AB651" s="32">
        <v>0</v>
      </c>
      <c r="AC651" s="32">
        <f t="shared" ref="AC651" si="273">ROUND(R651*1.5%,2)</f>
        <v>22291.96</v>
      </c>
      <c r="AD651" s="32">
        <v>130000</v>
      </c>
      <c r="AE651" s="32">
        <v>0</v>
      </c>
      <c r="AF651" s="35">
        <v>2021</v>
      </c>
      <c r="AG651" s="35">
        <v>2021</v>
      </c>
      <c r="AH651" s="36">
        <v>2021</v>
      </c>
      <c r="AT651" s="21" t="e">
        <f t="shared" si="270"/>
        <v>#N/A</v>
      </c>
    </row>
    <row r="652" spans="1:46" ht="61.5" x14ac:dyDescent="0.85">
      <c r="A652" s="21">
        <v>1</v>
      </c>
      <c r="B652" s="70">
        <f>SUBTOTAL(103,$A$535:A652)</f>
        <v>117</v>
      </c>
      <c r="C652" s="25" t="s">
        <v>478</v>
      </c>
      <c r="D652" s="32">
        <f t="shared" si="271"/>
        <v>4857938</v>
      </c>
      <c r="E652" s="32">
        <v>0</v>
      </c>
      <c r="F652" s="32">
        <v>0</v>
      </c>
      <c r="G652" s="32">
        <v>0</v>
      </c>
      <c r="H652" s="32">
        <v>0</v>
      </c>
      <c r="I652" s="32">
        <v>0</v>
      </c>
      <c r="J652" s="32">
        <v>0</v>
      </c>
      <c r="K652" s="34">
        <v>0</v>
      </c>
      <c r="L652" s="32">
        <v>0</v>
      </c>
      <c r="M652" s="32">
        <v>886</v>
      </c>
      <c r="N652" s="32">
        <v>4638362.5599999996</v>
      </c>
      <c r="O652" s="32">
        <v>0</v>
      </c>
      <c r="P652" s="32">
        <v>0</v>
      </c>
      <c r="Q652" s="32">
        <v>0</v>
      </c>
      <c r="R652" s="32">
        <v>0</v>
      </c>
      <c r="S652" s="32">
        <v>0</v>
      </c>
      <c r="T652" s="32">
        <v>0</v>
      </c>
      <c r="U652" s="32">
        <v>0</v>
      </c>
      <c r="V652" s="32">
        <v>0</v>
      </c>
      <c r="W652" s="32">
        <v>0</v>
      </c>
      <c r="X652" s="32">
        <v>0</v>
      </c>
      <c r="Y652" s="32">
        <v>0</v>
      </c>
      <c r="Z652" s="32">
        <v>0</v>
      </c>
      <c r="AA652" s="32">
        <v>0</v>
      </c>
      <c r="AB652" s="32">
        <v>0</v>
      </c>
      <c r="AC652" s="32">
        <f t="shared" ref="AC652:AC655" si="274">ROUND(N652*1.5%,2)</f>
        <v>69575.44</v>
      </c>
      <c r="AD652" s="32">
        <v>150000</v>
      </c>
      <c r="AE652" s="32">
        <v>0</v>
      </c>
      <c r="AF652" s="35">
        <v>2021</v>
      </c>
      <c r="AG652" s="35">
        <v>2021</v>
      </c>
      <c r="AH652" s="36">
        <v>2021</v>
      </c>
      <c r="AT652" s="21" t="e">
        <f t="shared" si="270"/>
        <v>#N/A</v>
      </c>
    </row>
    <row r="653" spans="1:46" ht="61.5" x14ac:dyDescent="0.85">
      <c r="A653" s="21">
        <v>1</v>
      </c>
      <c r="B653" s="70">
        <f>SUBTOTAL(103,$A$535:A653)</f>
        <v>118</v>
      </c>
      <c r="C653" s="25" t="s">
        <v>479</v>
      </c>
      <c r="D653" s="32">
        <f t="shared" si="271"/>
        <v>3345121.12</v>
      </c>
      <c r="E653" s="32">
        <v>0</v>
      </c>
      <c r="F653" s="32">
        <v>0</v>
      </c>
      <c r="G653" s="32">
        <v>0</v>
      </c>
      <c r="H653" s="32">
        <v>0</v>
      </c>
      <c r="I653" s="32">
        <v>0</v>
      </c>
      <c r="J653" s="32">
        <v>0</v>
      </c>
      <c r="K653" s="34">
        <v>0</v>
      </c>
      <c r="L653" s="32">
        <v>0</v>
      </c>
      <c r="M653" s="32">
        <v>604</v>
      </c>
      <c r="N653" s="32">
        <v>3147902.58</v>
      </c>
      <c r="O653" s="32">
        <v>0</v>
      </c>
      <c r="P653" s="32">
        <v>0</v>
      </c>
      <c r="Q653" s="32">
        <v>0</v>
      </c>
      <c r="R653" s="32">
        <v>0</v>
      </c>
      <c r="S653" s="32">
        <v>0</v>
      </c>
      <c r="T653" s="32">
        <v>0</v>
      </c>
      <c r="U653" s="32">
        <v>0</v>
      </c>
      <c r="V653" s="32">
        <v>0</v>
      </c>
      <c r="W653" s="32">
        <v>0</v>
      </c>
      <c r="X653" s="32">
        <v>0</v>
      </c>
      <c r="Y653" s="32">
        <v>0</v>
      </c>
      <c r="Z653" s="32">
        <v>0</v>
      </c>
      <c r="AA653" s="32">
        <v>0</v>
      </c>
      <c r="AB653" s="32">
        <v>0</v>
      </c>
      <c r="AC653" s="32">
        <f t="shared" si="274"/>
        <v>47218.54</v>
      </c>
      <c r="AD653" s="32">
        <v>150000</v>
      </c>
      <c r="AE653" s="32">
        <v>0</v>
      </c>
      <c r="AF653" s="35">
        <v>2021</v>
      </c>
      <c r="AG653" s="35">
        <v>2021</v>
      </c>
      <c r="AH653" s="36">
        <v>2021</v>
      </c>
      <c r="AT653" s="21" t="e">
        <f t="shared" si="270"/>
        <v>#N/A</v>
      </c>
    </row>
    <row r="654" spans="1:46" ht="61.5" x14ac:dyDescent="0.85">
      <c r="A654" s="21">
        <v>1</v>
      </c>
      <c r="B654" s="70">
        <f>SUBTOTAL(103,$A$535:A654)</f>
        <v>119</v>
      </c>
      <c r="C654" s="25" t="s">
        <v>480</v>
      </c>
      <c r="D654" s="32">
        <f t="shared" si="271"/>
        <v>3345121.12</v>
      </c>
      <c r="E654" s="32">
        <v>0</v>
      </c>
      <c r="F654" s="32">
        <v>0</v>
      </c>
      <c r="G654" s="32">
        <v>0</v>
      </c>
      <c r="H654" s="32">
        <v>0</v>
      </c>
      <c r="I654" s="32">
        <v>0</v>
      </c>
      <c r="J654" s="32">
        <v>0</v>
      </c>
      <c r="K654" s="34">
        <v>0</v>
      </c>
      <c r="L654" s="32">
        <v>0</v>
      </c>
      <c r="M654" s="32">
        <v>604</v>
      </c>
      <c r="N654" s="32">
        <v>3147902.58</v>
      </c>
      <c r="O654" s="32">
        <v>0</v>
      </c>
      <c r="P654" s="32">
        <v>0</v>
      </c>
      <c r="Q654" s="32">
        <v>0</v>
      </c>
      <c r="R654" s="32">
        <v>0</v>
      </c>
      <c r="S654" s="32">
        <v>0</v>
      </c>
      <c r="T654" s="32">
        <v>0</v>
      </c>
      <c r="U654" s="32">
        <v>0</v>
      </c>
      <c r="V654" s="32">
        <v>0</v>
      </c>
      <c r="W654" s="32">
        <v>0</v>
      </c>
      <c r="X654" s="32">
        <v>0</v>
      </c>
      <c r="Y654" s="32">
        <v>0</v>
      </c>
      <c r="Z654" s="32">
        <v>0</v>
      </c>
      <c r="AA654" s="32">
        <v>0</v>
      </c>
      <c r="AB654" s="32">
        <v>0</v>
      </c>
      <c r="AC654" s="32">
        <f t="shared" si="274"/>
        <v>47218.54</v>
      </c>
      <c r="AD654" s="32">
        <v>150000</v>
      </c>
      <c r="AE654" s="32">
        <v>0</v>
      </c>
      <c r="AF654" s="35">
        <v>2021</v>
      </c>
      <c r="AG654" s="35">
        <v>2021</v>
      </c>
      <c r="AH654" s="36">
        <v>2021</v>
      </c>
      <c r="AT654" s="21" t="e">
        <f t="shared" si="270"/>
        <v>#N/A</v>
      </c>
    </row>
    <row r="655" spans="1:46" ht="61.5" x14ac:dyDescent="0.85">
      <c r="A655" s="21">
        <v>1</v>
      </c>
      <c r="B655" s="70">
        <f>SUBTOTAL(103,$A$535:A655)</f>
        <v>120</v>
      </c>
      <c r="C655" s="25" t="s">
        <v>481</v>
      </c>
      <c r="D655" s="32">
        <f t="shared" si="271"/>
        <v>3589208.68</v>
      </c>
      <c r="E655" s="32">
        <v>0</v>
      </c>
      <c r="F655" s="32">
        <v>0</v>
      </c>
      <c r="G655" s="32">
        <v>0</v>
      </c>
      <c r="H655" s="32">
        <v>0</v>
      </c>
      <c r="I655" s="32">
        <v>0</v>
      </c>
      <c r="J655" s="32">
        <v>0</v>
      </c>
      <c r="K655" s="34">
        <v>0</v>
      </c>
      <c r="L655" s="32">
        <v>0</v>
      </c>
      <c r="M655" s="32">
        <v>723.24</v>
      </c>
      <c r="N655" s="32">
        <v>3388382.94</v>
      </c>
      <c r="O655" s="32">
        <v>0</v>
      </c>
      <c r="P655" s="32">
        <v>0</v>
      </c>
      <c r="Q655" s="32">
        <v>0</v>
      </c>
      <c r="R655" s="32">
        <v>0</v>
      </c>
      <c r="S655" s="32">
        <v>0</v>
      </c>
      <c r="T655" s="32">
        <v>0</v>
      </c>
      <c r="U655" s="32">
        <v>0</v>
      </c>
      <c r="V655" s="32">
        <v>0</v>
      </c>
      <c r="W655" s="32">
        <v>0</v>
      </c>
      <c r="X655" s="32">
        <v>0</v>
      </c>
      <c r="Y655" s="32">
        <v>0</v>
      </c>
      <c r="Z655" s="32">
        <v>0</v>
      </c>
      <c r="AA655" s="32">
        <v>0</v>
      </c>
      <c r="AB655" s="32">
        <v>0</v>
      </c>
      <c r="AC655" s="32">
        <f t="shared" si="274"/>
        <v>50825.74</v>
      </c>
      <c r="AD655" s="32">
        <v>150000</v>
      </c>
      <c r="AE655" s="32">
        <v>0</v>
      </c>
      <c r="AF655" s="35">
        <v>2021</v>
      </c>
      <c r="AG655" s="35">
        <v>2021</v>
      </c>
      <c r="AH655" s="36">
        <v>2021</v>
      </c>
      <c r="AT655" s="21" t="e">
        <f t="shared" si="270"/>
        <v>#N/A</v>
      </c>
    </row>
    <row r="656" spans="1:46" ht="61.5" x14ac:dyDescent="0.85">
      <c r="A656" s="21">
        <v>1</v>
      </c>
      <c r="B656" s="70">
        <f>SUBTOTAL(103,$A$535:A656)</f>
        <v>121</v>
      </c>
      <c r="C656" s="25" t="s">
        <v>482</v>
      </c>
      <c r="D656" s="32">
        <f t="shared" si="271"/>
        <v>998954.77999999991</v>
      </c>
      <c r="E656" s="32">
        <v>0</v>
      </c>
      <c r="F656" s="32">
        <v>0</v>
      </c>
      <c r="G656" s="32">
        <v>0</v>
      </c>
      <c r="H656" s="32">
        <v>0</v>
      </c>
      <c r="I656" s="32">
        <v>0</v>
      </c>
      <c r="J656" s="32">
        <v>0</v>
      </c>
      <c r="K656" s="34">
        <v>0</v>
      </c>
      <c r="L656" s="32">
        <v>0</v>
      </c>
      <c r="M656" s="32">
        <v>0</v>
      </c>
      <c r="N656" s="32">
        <v>0</v>
      </c>
      <c r="O656" s="32">
        <v>0</v>
      </c>
      <c r="P656" s="32">
        <v>0</v>
      </c>
      <c r="Q656" s="32">
        <v>409.5</v>
      </c>
      <c r="R656" s="32">
        <v>856113.08</v>
      </c>
      <c r="S656" s="32">
        <v>0</v>
      </c>
      <c r="T656" s="32">
        <v>0</v>
      </c>
      <c r="U656" s="32">
        <v>0</v>
      </c>
      <c r="V656" s="32">
        <v>0</v>
      </c>
      <c r="W656" s="32">
        <v>0</v>
      </c>
      <c r="X656" s="32">
        <v>0</v>
      </c>
      <c r="Y656" s="32">
        <v>0</v>
      </c>
      <c r="Z656" s="32">
        <v>0</v>
      </c>
      <c r="AA656" s="32">
        <v>0</v>
      </c>
      <c r="AB656" s="32">
        <v>0</v>
      </c>
      <c r="AC656" s="32">
        <f t="shared" ref="AC656" si="275">ROUND(R656*1.5%,2)</f>
        <v>12841.7</v>
      </c>
      <c r="AD656" s="32">
        <v>130000</v>
      </c>
      <c r="AE656" s="32">
        <v>0</v>
      </c>
      <c r="AF656" s="35">
        <v>2021</v>
      </c>
      <c r="AG656" s="35">
        <v>2021</v>
      </c>
      <c r="AH656" s="36">
        <v>2021</v>
      </c>
      <c r="AT656" s="21" t="e">
        <f t="shared" si="270"/>
        <v>#N/A</v>
      </c>
    </row>
    <row r="657" spans="1:46" ht="61.5" x14ac:dyDescent="0.85">
      <c r="A657" s="21">
        <v>1</v>
      </c>
      <c r="B657" s="70">
        <f>SUBTOTAL(103,$A$535:A657)</f>
        <v>122</v>
      </c>
      <c r="C657" s="25" t="s">
        <v>1383</v>
      </c>
      <c r="D657" s="32">
        <f t="shared" si="271"/>
        <v>3973949.34</v>
      </c>
      <c r="E657" s="32">
        <v>0</v>
      </c>
      <c r="F657" s="32">
        <v>0</v>
      </c>
      <c r="G657" s="32">
        <v>0</v>
      </c>
      <c r="H657" s="32">
        <v>0</v>
      </c>
      <c r="I657" s="32">
        <v>0</v>
      </c>
      <c r="J657" s="32">
        <v>0</v>
      </c>
      <c r="K657" s="34">
        <v>0</v>
      </c>
      <c r="L657" s="32">
        <v>0</v>
      </c>
      <c r="M657" s="32">
        <v>716.68</v>
      </c>
      <c r="N657" s="32">
        <v>3767437.77</v>
      </c>
      <c r="O657" s="32">
        <v>0</v>
      </c>
      <c r="P657" s="32">
        <v>0</v>
      </c>
      <c r="Q657" s="32">
        <v>0</v>
      </c>
      <c r="R657" s="32">
        <v>0</v>
      </c>
      <c r="S657" s="32">
        <v>0</v>
      </c>
      <c r="T657" s="32">
        <v>0</v>
      </c>
      <c r="U657" s="32">
        <v>0</v>
      </c>
      <c r="V657" s="32">
        <v>0</v>
      </c>
      <c r="W657" s="32">
        <v>0</v>
      </c>
      <c r="X657" s="32">
        <v>0</v>
      </c>
      <c r="Y657" s="32">
        <v>0</v>
      </c>
      <c r="Z657" s="32">
        <v>0</v>
      </c>
      <c r="AA657" s="32">
        <v>0</v>
      </c>
      <c r="AB657" s="32">
        <v>0</v>
      </c>
      <c r="AC657" s="32">
        <f t="shared" ref="AC657:AC658" si="276">ROUND(N657*1.5%,2)</f>
        <v>56511.57</v>
      </c>
      <c r="AD657" s="32">
        <v>150000</v>
      </c>
      <c r="AE657" s="32">
        <v>0</v>
      </c>
      <c r="AF657" s="35">
        <v>2021</v>
      </c>
      <c r="AG657" s="35">
        <v>2021</v>
      </c>
      <c r="AH657" s="36">
        <v>2021</v>
      </c>
      <c r="AT657" s="21" t="e">
        <f t="shared" si="270"/>
        <v>#N/A</v>
      </c>
    </row>
    <row r="658" spans="1:46" ht="61.5" x14ac:dyDescent="0.85">
      <c r="A658" s="21">
        <v>1</v>
      </c>
      <c r="B658" s="70">
        <f>SUBTOTAL(103,$A$535:A658)</f>
        <v>123</v>
      </c>
      <c r="C658" s="25" t="s">
        <v>484</v>
      </c>
      <c r="D658" s="32">
        <f t="shared" si="271"/>
        <v>3793636.92</v>
      </c>
      <c r="E658" s="32">
        <v>0</v>
      </c>
      <c r="F658" s="32">
        <v>0</v>
      </c>
      <c r="G658" s="32">
        <v>0</v>
      </c>
      <c r="H658" s="32">
        <v>0</v>
      </c>
      <c r="I658" s="32">
        <v>0</v>
      </c>
      <c r="J658" s="32">
        <v>0</v>
      </c>
      <c r="K658" s="34">
        <v>0</v>
      </c>
      <c r="L658" s="32">
        <v>0</v>
      </c>
      <c r="M658" s="32">
        <v>724</v>
      </c>
      <c r="N658" s="32">
        <v>3589790.07</v>
      </c>
      <c r="O658" s="32">
        <v>0</v>
      </c>
      <c r="P658" s="32">
        <v>0</v>
      </c>
      <c r="Q658" s="32">
        <v>0</v>
      </c>
      <c r="R658" s="32">
        <v>0</v>
      </c>
      <c r="S658" s="32">
        <v>0</v>
      </c>
      <c r="T658" s="32">
        <v>0</v>
      </c>
      <c r="U658" s="32">
        <v>0</v>
      </c>
      <c r="V658" s="32">
        <v>0</v>
      </c>
      <c r="W658" s="32">
        <v>0</v>
      </c>
      <c r="X658" s="32">
        <v>0</v>
      </c>
      <c r="Y658" s="32">
        <v>0</v>
      </c>
      <c r="Z658" s="32">
        <v>0</v>
      </c>
      <c r="AA658" s="32">
        <v>0</v>
      </c>
      <c r="AB658" s="32">
        <v>0</v>
      </c>
      <c r="AC658" s="32">
        <f t="shared" si="276"/>
        <v>53846.85</v>
      </c>
      <c r="AD658" s="32">
        <v>150000</v>
      </c>
      <c r="AE658" s="32">
        <v>0</v>
      </c>
      <c r="AF658" s="35">
        <v>2021</v>
      </c>
      <c r="AG658" s="35">
        <v>2021</v>
      </c>
      <c r="AH658" s="36">
        <v>2021</v>
      </c>
      <c r="AT658" s="21" t="e">
        <f t="shared" si="270"/>
        <v>#N/A</v>
      </c>
    </row>
    <row r="659" spans="1:46" ht="61.5" x14ac:dyDescent="0.85">
      <c r="A659" s="21">
        <v>1</v>
      </c>
      <c r="B659" s="70">
        <f>SUBTOTAL(103,$A$535:A659)</f>
        <v>124</v>
      </c>
      <c r="C659" s="25" t="s">
        <v>485</v>
      </c>
      <c r="D659" s="32">
        <f t="shared" si="271"/>
        <v>3465849.6</v>
      </c>
      <c r="E659" s="32">
        <v>177249.6</v>
      </c>
      <c r="F659" s="32">
        <v>0</v>
      </c>
      <c r="G659" s="32">
        <v>2456692.4499999997</v>
      </c>
      <c r="H659" s="32">
        <v>0</v>
      </c>
      <c r="I659" s="32">
        <v>485121.6</v>
      </c>
      <c r="J659" s="32">
        <v>0</v>
      </c>
      <c r="K659" s="34">
        <v>0</v>
      </c>
      <c r="L659" s="32">
        <v>0</v>
      </c>
      <c r="M659" s="32">
        <v>0</v>
      </c>
      <c r="N659" s="32">
        <v>0</v>
      </c>
      <c r="O659" s="32">
        <v>0</v>
      </c>
      <c r="P659" s="32">
        <v>0</v>
      </c>
      <c r="Q659" s="32">
        <v>0</v>
      </c>
      <c r="R659" s="32">
        <v>0</v>
      </c>
      <c r="S659" s="32">
        <v>0</v>
      </c>
      <c r="T659" s="32">
        <v>0</v>
      </c>
      <c r="U659" s="32">
        <v>0</v>
      </c>
      <c r="V659" s="32">
        <v>0</v>
      </c>
      <c r="W659" s="32">
        <v>0</v>
      </c>
      <c r="X659" s="32">
        <v>0</v>
      </c>
      <c r="Y659" s="32">
        <v>0</v>
      </c>
      <c r="Z659" s="32">
        <v>0</v>
      </c>
      <c r="AA659" s="32">
        <v>0</v>
      </c>
      <c r="AB659" s="32">
        <v>0</v>
      </c>
      <c r="AC659" s="32">
        <f t="shared" ref="AC659" si="277">ROUND((E659+F659+G659+H659+I659+J659)*1.5%,2)</f>
        <v>46785.95</v>
      </c>
      <c r="AD659" s="32">
        <v>300000</v>
      </c>
      <c r="AE659" s="32">
        <v>0</v>
      </c>
      <c r="AF659" s="35">
        <v>2021</v>
      </c>
      <c r="AG659" s="35">
        <v>2021</v>
      </c>
      <c r="AH659" s="36">
        <v>2021</v>
      </c>
      <c r="AT659" s="21" t="e">
        <f t="shared" si="270"/>
        <v>#N/A</v>
      </c>
    </row>
    <row r="660" spans="1:46" ht="61.5" x14ac:dyDescent="0.85">
      <c r="A660" s="21">
        <v>1</v>
      </c>
      <c r="B660" s="70">
        <f>SUBTOTAL(103,$A$535:A660)</f>
        <v>125</v>
      </c>
      <c r="C660" s="25" t="s">
        <v>486</v>
      </c>
      <c r="D660" s="32">
        <f t="shared" si="271"/>
        <v>7806669.5300000003</v>
      </c>
      <c r="E660" s="32">
        <v>0</v>
      </c>
      <c r="F660" s="32">
        <v>0</v>
      </c>
      <c r="G660" s="32">
        <v>0</v>
      </c>
      <c r="H660" s="32">
        <v>0</v>
      </c>
      <c r="I660" s="32">
        <v>0</v>
      </c>
      <c r="J660" s="32">
        <v>0</v>
      </c>
      <c r="K660" s="34">
        <v>0</v>
      </c>
      <c r="L660" s="32">
        <v>0</v>
      </c>
      <c r="M660" s="32">
        <v>3073.45</v>
      </c>
      <c r="N660" s="32">
        <v>7513960.1299999999</v>
      </c>
      <c r="O660" s="32">
        <v>0</v>
      </c>
      <c r="P660" s="32">
        <v>0</v>
      </c>
      <c r="Q660" s="32">
        <v>0</v>
      </c>
      <c r="R660" s="32">
        <v>0</v>
      </c>
      <c r="S660" s="32">
        <v>0</v>
      </c>
      <c r="T660" s="32">
        <v>0</v>
      </c>
      <c r="U660" s="32">
        <v>0</v>
      </c>
      <c r="V660" s="32">
        <v>0</v>
      </c>
      <c r="W660" s="32">
        <v>0</v>
      </c>
      <c r="X660" s="32">
        <v>0</v>
      </c>
      <c r="Y660" s="32">
        <v>0</v>
      </c>
      <c r="Z660" s="32">
        <v>0</v>
      </c>
      <c r="AA660" s="32">
        <v>0</v>
      </c>
      <c r="AB660" s="32">
        <v>0</v>
      </c>
      <c r="AC660" s="32">
        <f>ROUND(N660*1.5%,2)</f>
        <v>112709.4</v>
      </c>
      <c r="AD660" s="32">
        <v>180000</v>
      </c>
      <c r="AE660" s="32">
        <v>0</v>
      </c>
      <c r="AF660" s="35">
        <v>2021</v>
      </c>
      <c r="AG660" s="35">
        <v>2021</v>
      </c>
      <c r="AH660" s="36">
        <v>2021</v>
      </c>
      <c r="AT660" s="21" t="e">
        <f t="shared" si="270"/>
        <v>#N/A</v>
      </c>
    </row>
    <row r="661" spans="1:46" ht="61.5" x14ac:dyDescent="0.85">
      <c r="B661" s="25" t="s">
        <v>807</v>
      </c>
      <c r="C661" s="110"/>
      <c r="D661" s="32">
        <f>SUM(D662:D716)</f>
        <v>95396897.950000003</v>
      </c>
      <c r="E661" s="32">
        <f t="shared" ref="E661:AE661" si="278">SUM(E662:E716)</f>
        <v>0</v>
      </c>
      <c r="F661" s="32">
        <f t="shared" si="278"/>
        <v>0</v>
      </c>
      <c r="G661" s="32">
        <f t="shared" si="278"/>
        <v>0</v>
      </c>
      <c r="H661" s="32">
        <f t="shared" si="278"/>
        <v>150356.32999999999</v>
      </c>
      <c r="I661" s="32">
        <f t="shared" si="278"/>
        <v>1855761.8599999999</v>
      </c>
      <c r="J661" s="32">
        <f t="shared" si="278"/>
        <v>0</v>
      </c>
      <c r="K661" s="34">
        <f t="shared" si="278"/>
        <v>1</v>
      </c>
      <c r="L661" s="32">
        <f t="shared" si="278"/>
        <v>2116554.6800000002</v>
      </c>
      <c r="M661" s="32">
        <f t="shared" si="278"/>
        <v>16385</v>
      </c>
      <c r="N661" s="32">
        <f t="shared" si="278"/>
        <v>77738062.390000001</v>
      </c>
      <c r="O661" s="32">
        <f t="shared" si="278"/>
        <v>0</v>
      </c>
      <c r="P661" s="32">
        <f t="shared" si="278"/>
        <v>0</v>
      </c>
      <c r="Q661" s="32">
        <f t="shared" si="278"/>
        <v>947</v>
      </c>
      <c r="R661" s="32">
        <f t="shared" si="278"/>
        <v>4699507.3899999997</v>
      </c>
      <c r="S661" s="32">
        <f t="shared" si="278"/>
        <v>0</v>
      </c>
      <c r="T661" s="32">
        <f t="shared" si="278"/>
        <v>0</v>
      </c>
      <c r="U661" s="32">
        <f t="shared" si="278"/>
        <v>0</v>
      </c>
      <c r="V661" s="32">
        <f t="shared" si="278"/>
        <v>0</v>
      </c>
      <c r="W661" s="32">
        <f t="shared" si="278"/>
        <v>0</v>
      </c>
      <c r="X661" s="32">
        <f t="shared" si="278"/>
        <v>0</v>
      </c>
      <c r="Y661" s="32">
        <f t="shared" si="278"/>
        <v>0</v>
      </c>
      <c r="Z661" s="32">
        <f t="shared" si="278"/>
        <v>0</v>
      </c>
      <c r="AA661" s="32">
        <f t="shared" si="278"/>
        <v>0</v>
      </c>
      <c r="AB661" s="32">
        <f t="shared" si="278"/>
        <v>0</v>
      </c>
      <c r="AC661" s="32">
        <f t="shared" si="278"/>
        <v>1266655.3000000003</v>
      </c>
      <c r="AD661" s="32">
        <f t="shared" si="278"/>
        <v>7450000</v>
      </c>
      <c r="AE661" s="32">
        <f t="shared" si="278"/>
        <v>120000</v>
      </c>
      <c r="AF661" s="77" t="s">
        <v>801</v>
      </c>
      <c r="AG661" s="77" t="s">
        <v>801</v>
      </c>
      <c r="AH661" s="107" t="s">
        <v>801</v>
      </c>
      <c r="AT661" s="21" t="e">
        <f t="shared" si="270"/>
        <v>#N/A</v>
      </c>
    </row>
    <row r="662" spans="1:46" ht="61.5" x14ac:dyDescent="0.85">
      <c r="A662" s="21">
        <v>1</v>
      </c>
      <c r="B662" s="70">
        <f>SUBTOTAL(103,$A$535:A662)</f>
        <v>126</v>
      </c>
      <c r="C662" s="25" t="s">
        <v>420</v>
      </c>
      <c r="D662" s="32">
        <f t="shared" ref="D662:D716" si="279">E662+F662+G662+H662+I662+J662+L662+N662+P662+R662+T662+U662+V662+W662+X662+Y662+Z662+AA662+AB662+AC662+AD662+AE662</f>
        <v>6634502.3200000003</v>
      </c>
      <c r="E662" s="32">
        <v>0</v>
      </c>
      <c r="F662" s="32">
        <v>0</v>
      </c>
      <c r="G662" s="32">
        <v>0</v>
      </c>
      <c r="H662" s="32">
        <v>0</v>
      </c>
      <c r="I662" s="32">
        <v>0</v>
      </c>
      <c r="J662" s="32">
        <v>0</v>
      </c>
      <c r="K662" s="34">
        <v>0</v>
      </c>
      <c r="L662" s="32">
        <v>0</v>
      </c>
      <c r="M662" s="32">
        <v>1397</v>
      </c>
      <c r="N662" s="32">
        <v>6359115.5899999999</v>
      </c>
      <c r="O662" s="32">
        <v>0</v>
      </c>
      <c r="P662" s="32">
        <v>0</v>
      </c>
      <c r="Q662" s="32">
        <v>0</v>
      </c>
      <c r="R662" s="32">
        <v>0</v>
      </c>
      <c r="S662" s="32">
        <v>0</v>
      </c>
      <c r="T662" s="32">
        <v>0</v>
      </c>
      <c r="U662" s="32">
        <v>0</v>
      </c>
      <c r="V662" s="32">
        <v>0</v>
      </c>
      <c r="W662" s="32">
        <v>0</v>
      </c>
      <c r="X662" s="32">
        <v>0</v>
      </c>
      <c r="Y662" s="32">
        <v>0</v>
      </c>
      <c r="Z662" s="32">
        <v>0</v>
      </c>
      <c r="AA662" s="32">
        <v>0</v>
      </c>
      <c r="AB662" s="32">
        <v>0</v>
      </c>
      <c r="AC662" s="32">
        <f>ROUND(N662*1.5%,2)</f>
        <v>95386.73</v>
      </c>
      <c r="AD662" s="32">
        <v>180000</v>
      </c>
      <c r="AE662" s="32">
        <v>0</v>
      </c>
      <c r="AF662" s="35">
        <v>2021</v>
      </c>
      <c r="AG662" s="35">
        <v>2021</v>
      </c>
      <c r="AH662" s="36">
        <v>2021</v>
      </c>
      <c r="AT662" s="21" t="e">
        <f t="shared" si="270"/>
        <v>#N/A</v>
      </c>
    </row>
    <row r="663" spans="1:46" ht="61.5" x14ac:dyDescent="0.85">
      <c r="A663" s="21">
        <v>1</v>
      </c>
      <c r="B663" s="70">
        <f>SUBTOTAL(103,$A$535:A663)</f>
        <v>127</v>
      </c>
      <c r="C663" s="25" t="s">
        <v>421</v>
      </c>
      <c r="D663" s="32">
        <f t="shared" si="279"/>
        <v>2216554.6800000002</v>
      </c>
      <c r="E663" s="32">
        <v>0</v>
      </c>
      <c r="F663" s="32">
        <v>0</v>
      </c>
      <c r="G663" s="32">
        <v>0</v>
      </c>
      <c r="H663" s="32">
        <v>0</v>
      </c>
      <c r="I663" s="32">
        <v>0</v>
      </c>
      <c r="J663" s="32">
        <v>0</v>
      </c>
      <c r="K663" s="34">
        <v>1</v>
      </c>
      <c r="L663" s="32">
        <v>2116554.6800000002</v>
      </c>
      <c r="M663" s="32">
        <v>0</v>
      </c>
      <c r="N663" s="32">
        <v>0</v>
      </c>
      <c r="O663" s="32">
        <v>0</v>
      </c>
      <c r="P663" s="32">
        <v>0</v>
      </c>
      <c r="Q663" s="32">
        <v>0</v>
      </c>
      <c r="R663" s="32">
        <v>0</v>
      </c>
      <c r="S663" s="32">
        <v>0</v>
      </c>
      <c r="T663" s="32">
        <v>0</v>
      </c>
      <c r="U663" s="32">
        <v>0</v>
      </c>
      <c r="V663" s="32">
        <v>0</v>
      </c>
      <c r="W663" s="32">
        <v>0</v>
      </c>
      <c r="X663" s="32">
        <v>0</v>
      </c>
      <c r="Y663" s="32">
        <v>0</v>
      </c>
      <c r="Z663" s="32">
        <v>0</v>
      </c>
      <c r="AA663" s="32">
        <v>0</v>
      </c>
      <c r="AB663" s="32">
        <v>0</v>
      </c>
      <c r="AC663" s="32">
        <v>0</v>
      </c>
      <c r="AD663" s="32">
        <v>100000</v>
      </c>
      <c r="AE663" s="32">
        <v>0</v>
      </c>
      <c r="AF663" s="35">
        <v>2021</v>
      </c>
      <c r="AG663" s="35">
        <v>2021</v>
      </c>
      <c r="AH663" s="36" t="s">
        <v>275</v>
      </c>
      <c r="AT663" s="21">
        <f t="shared" si="270"/>
        <v>1</v>
      </c>
    </row>
    <row r="664" spans="1:46" ht="61.5" x14ac:dyDescent="0.85">
      <c r="A664" s="21">
        <v>1</v>
      </c>
      <c r="B664" s="70">
        <f>SUBTOTAL(103,$A$535:A664)</f>
        <v>128</v>
      </c>
      <c r="C664" s="25" t="s">
        <v>422</v>
      </c>
      <c r="D664" s="32">
        <f t="shared" si="279"/>
        <v>4590000</v>
      </c>
      <c r="E664" s="32">
        <v>0</v>
      </c>
      <c r="F664" s="32">
        <v>0</v>
      </c>
      <c r="G664" s="32">
        <v>0</v>
      </c>
      <c r="H664" s="32">
        <v>0</v>
      </c>
      <c r="I664" s="32">
        <v>0</v>
      </c>
      <c r="J664" s="32">
        <v>0</v>
      </c>
      <c r="K664" s="34">
        <v>0</v>
      </c>
      <c r="L664" s="32">
        <v>0</v>
      </c>
      <c r="M664" s="32">
        <v>918</v>
      </c>
      <c r="N664" s="32">
        <v>4374384.24</v>
      </c>
      <c r="O664" s="32">
        <v>0</v>
      </c>
      <c r="P664" s="32">
        <v>0</v>
      </c>
      <c r="Q664" s="32">
        <v>0</v>
      </c>
      <c r="R664" s="32">
        <v>0</v>
      </c>
      <c r="S664" s="32">
        <v>0</v>
      </c>
      <c r="T664" s="32">
        <v>0</v>
      </c>
      <c r="U664" s="32">
        <v>0</v>
      </c>
      <c r="V664" s="32">
        <v>0</v>
      </c>
      <c r="W664" s="32">
        <v>0</v>
      </c>
      <c r="X664" s="32">
        <v>0</v>
      </c>
      <c r="Y664" s="32">
        <v>0</v>
      </c>
      <c r="Z664" s="32">
        <v>0</v>
      </c>
      <c r="AA664" s="32">
        <v>0</v>
      </c>
      <c r="AB664" s="32">
        <v>0</v>
      </c>
      <c r="AC664" s="32">
        <f t="shared" ref="AC664:AC667" si="280">ROUND(N664*1.5%,2)</f>
        <v>65615.759999999995</v>
      </c>
      <c r="AD664" s="32">
        <v>150000</v>
      </c>
      <c r="AE664" s="32">
        <v>0</v>
      </c>
      <c r="AF664" s="35">
        <v>2021</v>
      </c>
      <c r="AG664" s="35">
        <v>2021</v>
      </c>
      <c r="AH664" s="36">
        <v>2021</v>
      </c>
      <c r="AT664" s="21" t="e">
        <f t="shared" si="270"/>
        <v>#N/A</v>
      </c>
    </row>
    <row r="665" spans="1:46" ht="61.5" x14ac:dyDescent="0.85">
      <c r="A665" s="21">
        <v>1</v>
      </c>
      <c r="B665" s="70">
        <f>SUBTOTAL(103,$A$535:A665)</f>
        <v>129</v>
      </c>
      <c r="C665" s="25" t="s">
        <v>423</v>
      </c>
      <c r="D665" s="32">
        <f t="shared" si="279"/>
        <v>3250000</v>
      </c>
      <c r="E665" s="32">
        <v>0</v>
      </c>
      <c r="F665" s="32">
        <v>0</v>
      </c>
      <c r="G665" s="32">
        <v>0</v>
      </c>
      <c r="H665" s="32">
        <v>0</v>
      </c>
      <c r="I665" s="32">
        <v>0</v>
      </c>
      <c r="J665" s="32">
        <v>0</v>
      </c>
      <c r="K665" s="34">
        <v>0</v>
      </c>
      <c r="L665" s="32">
        <v>0</v>
      </c>
      <c r="M665" s="32">
        <v>650</v>
      </c>
      <c r="N665" s="32">
        <v>3054187.19</v>
      </c>
      <c r="O665" s="32">
        <v>0</v>
      </c>
      <c r="P665" s="32">
        <v>0</v>
      </c>
      <c r="Q665" s="32">
        <v>0</v>
      </c>
      <c r="R665" s="32">
        <v>0</v>
      </c>
      <c r="S665" s="32">
        <v>0</v>
      </c>
      <c r="T665" s="32">
        <v>0</v>
      </c>
      <c r="U665" s="32">
        <v>0</v>
      </c>
      <c r="V665" s="32">
        <v>0</v>
      </c>
      <c r="W665" s="32">
        <v>0</v>
      </c>
      <c r="X665" s="32">
        <v>0</v>
      </c>
      <c r="Y665" s="32">
        <v>0</v>
      </c>
      <c r="Z665" s="32">
        <v>0</v>
      </c>
      <c r="AA665" s="32">
        <v>0</v>
      </c>
      <c r="AB665" s="32">
        <v>0</v>
      </c>
      <c r="AC665" s="32">
        <f t="shared" si="280"/>
        <v>45812.81</v>
      </c>
      <c r="AD665" s="32">
        <v>150000</v>
      </c>
      <c r="AE665" s="32">
        <v>0</v>
      </c>
      <c r="AF665" s="35">
        <v>2021</v>
      </c>
      <c r="AG665" s="35">
        <v>2021</v>
      </c>
      <c r="AH665" s="36">
        <v>2021</v>
      </c>
      <c r="AT665" s="21" t="e">
        <f t="shared" si="270"/>
        <v>#N/A</v>
      </c>
    </row>
    <row r="666" spans="1:46" ht="61.5" x14ac:dyDescent="0.85">
      <c r="A666" s="21">
        <v>1</v>
      </c>
      <c r="B666" s="70">
        <f>SUBTOTAL(103,$A$535:A666)</f>
        <v>130</v>
      </c>
      <c r="C666" s="25" t="s">
        <v>424</v>
      </c>
      <c r="D666" s="32">
        <f t="shared" si="279"/>
        <v>3100000</v>
      </c>
      <c r="E666" s="32">
        <v>0</v>
      </c>
      <c r="F666" s="32">
        <v>0</v>
      </c>
      <c r="G666" s="32">
        <v>0</v>
      </c>
      <c r="H666" s="32">
        <v>0</v>
      </c>
      <c r="I666" s="32">
        <v>0</v>
      </c>
      <c r="J666" s="32">
        <v>0</v>
      </c>
      <c r="K666" s="34">
        <v>0</v>
      </c>
      <c r="L666" s="32">
        <v>0</v>
      </c>
      <c r="M666" s="32">
        <v>620</v>
      </c>
      <c r="N666" s="32">
        <v>2906403.94</v>
      </c>
      <c r="O666" s="32">
        <v>0</v>
      </c>
      <c r="P666" s="32">
        <v>0</v>
      </c>
      <c r="Q666" s="32">
        <v>0</v>
      </c>
      <c r="R666" s="32">
        <v>0</v>
      </c>
      <c r="S666" s="32">
        <v>0</v>
      </c>
      <c r="T666" s="32">
        <v>0</v>
      </c>
      <c r="U666" s="32">
        <v>0</v>
      </c>
      <c r="V666" s="32">
        <v>0</v>
      </c>
      <c r="W666" s="32">
        <v>0</v>
      </c>
      <c r="X666" s="32">
        <v>0</v>
      </c>
      <c r="Y666" s="32">
        <v>0</v>
      </c>
      <c r="Z666" s="32">
        <v>0</v>
      </c>
      <c r="AA666" s="32">
        <v>0</v>
      </c>
      <c r="AB666" s="32">
        <v>0</v>
      </c>
      <c r="AC666" s="32">
        <f t="shared" si="280"/>
        <v>43596.06</v>
      </c>
      <c r="AD666" s="32">
        <v>150000</v>
      </c>
      <c r="AE666" s="32">
        <v>0</v>
      </c>
      <c r="AF666" s="35">
        <v>2021</v>
      </c>
      <c r="AG666" s="35">
        <v>2021</v>
      </c>
      <c r="AH666" s="36">
        <v>2021</v>
      </c>
      <c r="AT666" s="21" t="e">
        <f t="shared" si="270"/>
        <v>#N/A</v>
      </c>
    </row>
    <row r="667" spans="1:46" ht="61.5" x14ac:dyDescent="0.85">
      <c r="A667" s="21">
        <v>1</v>
      </c>
      <c r="B667" s="70">
        <f>SUBTOTAL(103,$A$535:A667)</f>
        <v>131</v>
      </c>
      <c r="C667" s="25" t="s">
        <v>425</v>
      </c>
      <c r="D667" s="32">
        <f t="shared" si="279"/>
        <v>3000000</v>
      </c>
      <c r="E667" s="32">
        <v>0</v>
      </c>
      <c r="F667" s="32">
        <v>0</v>
      </c>
      <c r="G667" s="32">
        <v>0</v>
      </c>
      <c r="H667" s="32">
        <v>0</v>
      </c>
      <c r="I667" s="32">
        <v>0</v>
      </c>
      <c r="J667" s="32">
        <v>0</v>
      </c>
      <c r="K667" s="34">
        <v>0</v>
      </c>
      <c r="L667" s="32">
        <v>0</v>
      </c>
      <c r="M667" s="32">
        <v>600</v>
      </c>
      <c r="N667" s="32">
        <v>2807881.77</v>
      </c>
      <c r="O667" s="32">
        <v>0</v>
      </c>
      <c r="P667" s="32">
        <v>0</v>
      </c>
      <c r="Q667" s="32">
        <v>0</v>
      </c>
      <c r="R667" s="32">
        <v>0</v>
      </c>
      <c r="S667" s="32">
        <v>0</v>
      </c>
      <c r="T667" s="32">
        <v>0</v>
      </c>
      <c r="U667" s="32">
        <v>0</v>
      </c>
      <c r="V667" s="32">
        <v>0</v>
      </c>
      <c r="W667" s="32">
        <v>0</v>
      </c>
      <c r="X667" s="32">
        <v>0</v>
      </c>
      <c r="Y667" s="32">
        <v>0</v>
      </c>
      <c r="Z667" s="32">
        <v>0</v>
      </c>
      <c r="AA667" s="32">
        <v>0</v>
      </c>
      <c r="AB667" s="32">
        <v>0</v>
      </c>
      <c r="AC667" s="32">
        <f t="shared" si="280"/>
        <v>42118.23</v>
      </c>
      <c r="AD667" s="32">
        <v>150000</v>
      </c>
      <c r="AE667" s="32">
        <v>0</v>
      </c>
      <c r="AF667" s="35">
        <v>2021</v>
      </c>
      <c r="AG667" s="35">
        <v>2021</v>
      </c>
      <c r="AH667" s="36">
        <v>2021</v>
      </c>
      <c r="AT667" s="21" t="e">
        <f t="shared" si="270"/>
        <v>#N/A</v>
      </c>
    </row>
    <row r="668" spans="1:46" ht="61.5" x14ac:dyDescent="0.85">
      <c r="A668" s="21">
        <v>1</v>
      </c>
      <c r="B668" s="70">
        <f>SUBTOTAL(103,$A$535:A668)</f>
        <v>132</v>
      </c>
      <c r="C668" s="25" t="s">
        <v>204</v>
      </c>
      <c r="D668" s="32">
        <f t="shared" si="279"/>
        <v>686139</v>
      </c>
      <c r="E668" s="32">
        <v>0</v>
      </c>
      <c r="F668" s="32">
        <v>0</v>
      </c>
      <c r="G668" s="32">
        <v>0</v>
      </c>
      <c r="H668" s="32">
        <v>150356.32999999999</v>
      </c>
      <c r="I668" s="32">
        <v>456677.17</v>
      </c>
      <c r="J668" s="32">
        <v>0</v>
      </c>
      <c r="K668" s="34">
        <v>0</v>
      </c>
      <c r="L668" s="32">
        <v>0</v>
      </c>
      <c r="M668" s="32">
        <v>0</v>
      </c>
      <c r="N668" s="32">
        <v>0</v>
      </c>
      <c r="O668" s="32">
        <v>0</v>
      </c>
      <c r="P668" s="32">
        <v>0</v>
      </c>
      <c r="Q668" s="32">
        <v>0</v>
      </c>
      <c r="R668" s="32">
        <v>0</v>
      </c>
      <c r="S668" s="32">
        <v>0</v>
      </c>
      <c r="T668" s="32">
        <v>0</v>
      </c>
      <c r="U668" s="32">
        <v>0</v>
      </c>
      <c r="V668" s="32">
        <v>0</v>
      </c>
      <c r="W668" s="32">
        <v>0</v>
      </c>
      <c r="X668" s="32">
        <v>0</v>
      </c>
      <c r="Y668" s="32">
        <v>0</v>
      </c>
      <c r="Z668" s="32">
        <v>0</v>
      </c>
      <c r="AA668" s="32">
        <v>0</v>
      </c>
      <c r="AB668" s="32">
        <v>0</v>
      </c>
      <c r="AC668" s="32">
        <f t="shared" ref="AC668:AC670" si="281">ROUND((E668+F668+G668+H668+I668+J668)*1.5%,2)</f>
        <v>9105.5</v>
      </c>
      <c r="AD668" s="32">
        <v>70000</v>
      </c>
      <c r="AE668" s="32">
        <v>0</v>
      </c>
      <c r="AF668" s="35">
        <v>2021</v>
      </c>
      <c r="AG668" s="35">
        <v>2021</v>
      </c>
      <c r="AH668" s="36">
        <v>2021</v>
      </c>
      <c r="AT668" s="21" t="e">
        <f t="shared" si="270"/>
        <v>#N/A</v>
      </c>
    </row>
    <row r="669" spans="1:46" ht="61.5" x14ac:dyDescent="0.85">
      <c r="A669" s="21">
        <v>1</v>
      </c>
      <c r="B669" s="70">
        <f>SUBTOTAL(103,$A$535:A669)</f>
        <v>133</v>
      </c>
      <c r="C669" s="25" t="s">
        <v>205</v>
      </c>
      <c r="D669" s="32">
        <f t="shared" si="279"/>
        <v>783943</v>
      </c>
      <c r="E669" s="32">
        <v>0</v>
      </c>
      <c r="F669" s="32">
        <v>0</v>
      </c>
      <c r="G669" s="32">
        <v>0</v>
      </c>
      <c r="H669" s="32">
        <v>0</v>
      </c>
      <c r="I669" s="32">
        <v>703392.12</v>
      </c>
      <c r="J669" s="32">
        <v>0</v>
      </c>
      <c r="K669" s="34">
        <v>0</v>
      </c>
      <c r="L669" s="32">
        <v>0</v>
      </c>
      <c r="M669" s="32">
        <v>0</v>
      </c>
      <c r="N669" s="32">
        <v>0</v>
      </c>
      <c r="O669" s="32">
        <v>0</v>
      </c>
      <c r="P669" s="32">
        <v>0</v>
      </c>
      <c r="Q669" s="32">
        <v>0</v>
      </c>
      <c r="R669" s="32">
        <v>0</v>
      </c>
      <c r="S669" s="32">
        <v>0</v>
      </c>
      <c r="T669" s="32">
        <v>0</v>
      </c>
      <c r="U669" s="32">
        <v>0</v>
      </c>
      <c r="V669" s="32">
        <v>0</v>
      </c>
      <c r="W669" s="32">
        <v>0</v>
      </c>
      <c r="X669" s="32">
        <v>0</v>
      </c>
      <c r="Y669" s="32">
        <v>0</v>
      </c>
      <c r="Z669" s="32">
        <v>0</v>
      </c>
      <c r="AA669" s="32">
        <v>0</v>
      </c>
      <c r="AB669" s="32">
        <v>0</v>
      </c>
      <c r="AC669" s="32">
        <f t="shared" si="281"/>
        <v>10550.88</v>
      </c>
      <c r="AD669" s="32">
        <v>70000</v>
      </c>
      <c r="AE669" s="32">
        <v>0</v>
      </c>
      <c r="AF669" s="35">
        <v>2021</v>
      </c>
      <c r="AG669" s="35">
        <v>2021</v>
      </c>
      <c r="AH669" s="36">
        <v>2021</v>
      </c>
      <c r="AT669" s="21" t="e">
        <f t="shared" si="270"/>
        <v>#N/A</v>
      </c>
    </row>
    <row r="670" spans="1:46" ht="61.5" x14ac:dyDescent="0.85">
      <c r="A670" s="21">
        <v>1</v>
      </c>
      <c r="B670" s="70">
        <f>SUBTOTAL(103,$A$535:A670)</f>
        <v>134</v>
      </c>
      <c r="C670" s="25" t="s">
        <v>206</v>
      </c>
      <c r="D670" s="32">
        <f t="shared" si="279"/>
        <v>776127.96</v>
      </c>
      <c r="E670" s="32">
        <v>0</v>
      </c>
      <c r="F670" s="32">
        <v>0</v>
      </c>
      <c r="G670" s="32">
        <v>0</v>
      </c>
      <c r="H670" s="32">
        <v>0</v>
      </c>
      <c r="I670" s="32">
        <v>695692.57</v>
      </c>
      <c r="J670" s="32">
        <v>0</v>
      </c>
      <c r="K670" s="34">
        <v>0</v>
      </c>
      <c r="L670" s="32">
        <v>0</v>
      </c>
      <c r="M670" s="32">
        <v>0</v>
      </c>
      <c r="N670" s="32">
        <v>0</v>
      </c>
      <c r="O670" s="32">
        <v>0</v>
      </c>
      <c r="P670" s="32">
        <v>0</v>
      </c>
      <c r="Q670" s="32">
        <v>0</v>
      </c>
      <c r="R670" s="32">
        <v>0</v>
      </c>
      <c r="S670" s="32">
        <v>0</v>
      </c>
      <c r="T670" s="32">
        <v>0</v>
      </c>
      <c r="U670" s="32">
        <v>0</v>
      </c>
      <c r="V670" s="32">
        <v>0</v>
      </c>
      <c r="W670" s="32">
        <v>0</v>
      </c>
      <c r="X670" s="32">
        <v>0</v>
      </c>
      <c r="Y670" s="32">
        <v>0</v>
      </c>
      <c r="Z670" s="32">
        <v>0</v>
      </c>
      <c r="AA670" s="32">
        <v>0</v>
      </c>
      <c r="AB670" s="32">
        <v>0</v>
      </c>
      <c r="AC670" s="32">
        <f t="shared" si="281"/>
        <v>10435.39</v>
      </c>
      <c r="AD670" s="32">
        <v>70000</v>
      </c>
      <c r="AE670" s="32">
        <v>0</v>
      </c>
      <c r="AF670" s="35">
        <v>2021</v>
      </c>
      <c r="AG670" s="35">
        <v>2021</v>
      </c>
      <c r="AH670" s="36">
        <v>2021</v>
      </c>
      <c r="AT670" s="21" t="e">
        <f t="shared" si="270"/>
        <v>#N/A</v>
      </c>
    </row>
    <row r="671" spans="1:46" ht="61.5" x14ac:dyDescent="0.85">
      <c r="A671" s="21">
        <v>1</v>
      </c>
      <c r="B671" s="70">
        <f>SUBTOTAL(103,$A$535:A671)</f>
        <v>135</v>
      </c>
      <c r="C671" s="25" t="s">
        <v>426</v>
      </c>
      <c r="D671" s="32">
        <f t="shared" si="279"/>
        <v>2375000</v>
      </c>
      <c r="E671" s="32">
        <v>0</v>
      </c>
      <c r="F671" s="32">
        <v>0</v>
      </c>
      <c r="G671" s="32">
        <v>0</v>
      </c>
      <c r="H671" s="32">
        <v>0</v>
      </c>
      <c r="I671" s="32">
        <v>0</v>
      </c>
      <c r="J671" s="32">
        <v>0</v>
      </c>
      <c r="K671" s="34">
        <v>0</v>
      </c>
      <c r="L671" s="32">
        <v>0</v>
      </c>
      <c r="M671" s="32">
        <v>477</v>
      </c>
      <c r="N671" s="32">
        <v>2221674.88</v>
      </c>
      <c r="O671" s="32">
        <v>0</v>
      </c>
      <c r="P671" s="32">
        <v>0</v>
      </c>
      <c r="Q671" s="32">
        <v>0</v>
      </c>
      <c r="R671" s="32">
        <v>0</v>
      </c>
      <c r="S671" s="32">
        <v>0</v>
      </c>
      <c r="T671" s="32">
        <v>0</v>
      </c>
      <c r="U671" s="32">
        <v>0</v>
      </c>
      <c r="V671" s="32">
        <v>0</v>
      </c>
      <c r="W671" s="32">
        <v>0</v>
      </c>
      <c r="X671" s="32">
        <v>0</v>
      </c>
      <c r="Y671" s="32">
        <v>0</v>
      </c>
      <c r="Z671" s="32">
        <v>0</v>
      </c>
      <c r="AA671" s="32">
        <v>0</v>
      </c>
      <c r="AB671" s="32">
        <v>0</v>
      </c>
      <c r="AC671" s="32">
        <f t="shared" ref="AC671:AC686" si="282">ROUND(N671*1.5%,2)</f>
        <v>33325.120000000003</v>
      </c>
      <c r="AD671" s="32">
        <v>120000</v>
      </c>
      <c r="AE671" s="32">
        <v>0</v>
      </c>
      <c r="AF671" s="35">
        <v>2021</v>
      </c>
      <c r="AG671" s="35">
        <v>2021</v>
      </c>
      <c r="AH671" s="36">
        <v>2021</v>
      </c>
      <c r="AT671" s="21" t="e">
        <f t="shared" si="270"/>
        <v>#N/A</v>
      </c>
    </row>
    <row r="672" spans="1:46" ht="61.5" x14ac:dyDescent="0.85">
      <c r="A672" s="21">
        <v>1</v>
      </c>
      <c r="B672" s="70">
        <f>SUBTOTAL(103,$A$535:A672)</f>
        <v>136</v>
      </c>
      <c r="C672" s="25" t="s">
        <v>427</v>
      </c>
      <c r="D672" s="32">
        <f t="shared" si="279"/>
        <v>2360000</v>
      </c>
      <c r="E672" s="32">
        <v>0</v>
      </c>
      <c r="F672" s="32">
        <v>0</v>
      </c>
      <c r="G672" s="32">
        <v>0</v>
      </c>
      <c r="H672" s="32">
        <v>0</v>
      </c>
      <c r="I672" s="32">
        <v>0</v>
      </c>
      <c r="J672" s="32">
        <v>0</v>
      </c>
      <c r="K672" s="34">
        <v>0</v>
      </c>
      <c r="L672" s="32">
        <v>0</v>
      </c>
      <c r="M672" s="32">
        <v>472</v>
      </c>
      <c r="N672" s="32">
        <v>2206896.5499999998</v>
      </c>
      <c r="O672" s="32">
        <v>0</v>
      </c>
      <c r="P672" s="32">
        <v>0</v>
      </c>
      <c r="Q672" s="32">
        <v>0</v>
      </c>
      <c r="R672" s="32">
        <v>0</v>
      </c>
      <c r="S672" s="32">
        <v>0</v>
      </c>
      <c r="T672" s="32">
        <v>0</v>
      </c>
      <c r="U672" s="32">
        <v>0</v>
      </c>
      <c r="V672" s="32">
        <v>0</v>
      </c>
      <c r="W672" s="32">
        <v>0</v>
      </c>
      <c r="X672" s="32">
        <v>0</v>
      </c>
      <c r="Y672" s="32">
        <v>0</v>
      </c>
      <c r="Z672" s="32">
        <v>0</v>
      </c>
      <c r="AA672" s="32">
        <v>0</v>
      </c>
      <c r="AB672" s="32">
        <v>0</v>
      </c>
      <c r="AC672" s="32">
        <f t="shared" si="282"/>
        <v>33103.449999999997</v>
      </c>
      <c r="AD672" s="32">
        <v>120000</v>
      </c>
      <c r="AE672" s="32">
        <v>0</v>
      </c>
      <c r="AF672" s="35">
        <v>2021</v>
      </c>
      <c r="AG672" s="35">
        <v>2021</v>
      </c>
      <c r="AH672" s="36">
        <v>2021</v>
      </c>
      <c r="AT672" s="21" t="e">
        <f t="shared" si="270"/>
        <v>#N/A</v>
      </c>
    </row>
    <row r="673" spans="1:46" ht="61.5" x14ac:dyDescent="0.85">
      <c r="A673" s="21">
        <v>1</v>
      </c>
      <c r="B673" s="70">
        <f>SUBTOTAL(103,$A$535:A673)</f>
        <v>137</v>
      </c>
      <c r="C673" s="25" t="s">
        <v>428</v>
      </c>
      <c r="D673" s="32">
        <f t="shared" si="279"/>
        <v>2345000</v>
      </c>
      <c r="E673" s="32">
        <v>0</v>
      </c>
      <c r="F673" s="32">
        <v>0</v>
      </c>
      <c r="G673" s="32">
        <v>0</v>
      </c>
      <c r="H673" s="32">
        <v>0</v>
      </c>
      <c r="I673" s="32">
        <v>0</v>
      </c>
      <c r="J673" s="32">
        <v>0</v>
      </c>
      <c r="K673" s="34">
        <v>0</v>
      </c>
      <c r="L673" s="32">
        <v>0</v>
      </c>
      <c r="M673" s="32">
        <v>469</v>
      </c>
      <c r="N673" s="32">
        <v>2192118.23</v>
      </c>
      <c r="O673" s="32">
        <v>0</v>
      </c>
      <c r="P673" s="32">
        <v>0</v>
      </c>
      <c r="Q673" s="32">
        <v>0</v>
      </c>
      <c r="R673" s="32">
        <v>0</v>
      </c>
      <c r="S673" s="32">
        <v>0</v>
      </c>
      <c r="T673" s="32">
        <v>0</v>
      </c>
      <c r="U673" s="32">
        <v>0</v>
      </c>
      <c r="V673" s="32">
        <v>0</v>
      </c>
      <c r="W673" s="32">
        <v>0</v>
      </c>
      <c r="X673" s="32">
        <v>0</v>
      </c>
      <c r="Y673" s="32">
        <v>0</v>
      </c>
      <c r="Z673" s="32">
        <v>0</v>
      </c>
      <c r="AA673" s="32">
        <v>0</v>
      </c>
      <c r="AB673" s="32">
        <v>0</v>
      </c>
      <c r="AC673" s="32">
        <f t="shared" si="282"/>
        <v>32881.769999999997</v>
      </c>
      <c r="AD673" s="32">
        <v>120000</v>
      </c>
      <c r="AE673" s="32">
        <v>0</v>
      </c>
      <c r="AF673" s="35">
        <v>2021</v>
      </c>
      <c r="AG673" s="35">
        <v>2021</v>
      </c>
      <c r="AH673" s="36">
        <v>2021</v>
      </c>
      <c r="AT673" s="21" t="e">
        <f t="shared" si="270"/>
        <v>#N/A</v>
      </c>
    </row>
    <row r="674" spans="1:46" ht="61.5" x14ac:dyDescent="0.85">
      <c r="A674" s="21">
        <v>1</v>
      </c>
      <c r="B674" s="70">
        <f>SUBTOTAL(103,$A$535:A674)</f>
        <v>138</v>
      </c>
      <c r="C674" s="25" t="s">
        <v>429</v>
      </c>
      <c r="D674" s="32">
        <f t="shared" si="279"/>
        <v>6570450</v>
      </c>
      <c r="E674" s="32">
        <v>0</v>
      </c>
      <c r="F674" s="32">
        <v>0</v>
      </c>
      <c r="G674" s="32">
        <v>0</v>
      </c>
      <c r="H674" s="32">
        <v>0</v>
      </c>
      <c r="I674" s="32">
        <v>0</v>
      </c>
      <c r="J674" s="32">
        <v>0</v>
      </c>
      <c r="K674" s="34">
        <v>0</v>
      </c>
      <c r="L674" s="32">
        <v>0</v>
      </c>
      <c r="M674" s="32">
        <v>1314</v>
      </c>
      <c r="N674" s="32">
        <v>6296009.8499999996</v>
      </c>
      <c r="O674" s="32">
        <v>0</v>
      </c>
      <c r="P674" s="32">
        <v>0</v>
      </c>
      <c r="Q674" s="32">
        <v>0</v>
      </c>
      <c r="R674" s="32">
        <v>0</v>
      </c>
      <c r="S674" s="32">
        <v>0</v>
      </c>
      <c r="T674" s="32">
        <v>0</v>
      </c>
      <c r="U674" s="32">
        <v>0</v>
      </c>
      <c r="V674" s="32">
        <v>0</v>
      </c>
      <c r="W674" s="32">
        <v>0</v>
      </c>
      <c r="X674" s="32">
        <v>0</v>
      </c>
      <c r="Y674" s="32">
        <v>0</v>
      </c>
      <c r="Z674" s="32">
        <v>0</v>
      </c>
      <c r="AA674" s="32">
        <v>0</v>
      </c>
      <c r="AB674" s="32">
        <v>0</v>
      </c>
      <c r="AC674" s="32">
        <f t="shared" si="282"/>
        <v>94440.15</v>
      </c>
      <c r="AD674" s="32">
        <v>180000</v>
      </c>
      <c r="AE674" s="32">
        <v>0</v>
      </c>
      <c r="AF674" s="35">
        <v>2021</v>
      </c>
      <c r="AG674" s="35">
        <v>2021</v>
      </c>
      <c r="AH674" s="36">
        <v>2021</v>
      </c>
      <c r="AT674" s="21" t="e">
        <f t="shared" si="270"/>
        <v>#N/A</v>
      </c>
    </row>
    <row r="675" spans="1:46" ht="61.5" x14ac:dyDescent="0.85">
      <c r="A675" s="21">
        <v>1</v>
      </c>
      <c r="B675" s="70">
        <f>SUBTOTAL(103,$A$535:A675)</f>
        <v>139</v>
      </c>
      <c r="C675" s="25" t="s">
        <v>430</v>
      </c>
      <c r="D675" s="32">
        <f t="shared" si="279"/>
        <v>5669999.9900000002</v>
      </c>
      <c r="E675" s="32">
        <v>0</v>
      </c>
      <c r="F675" s="32">
        <v>0</v>
      </c>
      <c r="G675" s="32">
        <v>0</v>
      </c>
      <c r="H675" s="32">
        <v>0</v>
      </c>
      <c r="I675" s="32">
        <v>0</v>
      </c>
      <c r="J675" s="32">
        <v>0</v>
      </c>
      <c r="K675" s="34">
        <v>0</v>
      </c>
      <c r="L675" s="32">
        <v>0</v>
      </c>
      <c r="M675" s="32">
        <v>1134</v>
      </c>
      <c r="N675" s="32">
        <v>5408866.9900000002</v>
      </c>
      <c r="O675" s="32">
        <v>0</v>
      </c>
      <c r="P675" s="32">
        <v>0</v>
      </c>
      <c r="Q675" s="32">
        <v>0</v>
      </c>
      <c r="R675" s="32">
        <v>0</v>
      </c>
      <c r="S675" s="32">
        <v>0</v>
      </c>
      <c r="T675" s="32">
        <v>0</v>
      </c>
      <c r="U675" s="32">
        <v>0</v>
      </c>
      <c r="V675" s="32">
        <v>0</v>
      </c>
      <c r="W675" s="32">
        <v>0</v>
      </c>
      <c r="X675" s="32">
        <v>0</v>
      </c>
      <c r="Y675" s="32">
        <v>0</v>
      </c>
      <c r="Z675" s="32">
        <v>0</v>
      </c>
      <c r="AA675" s="32">
        <v>0</v>
      </c>
      <c r="AB675" s="32">
        <v>0</v>
      </c>
      <c r="AC675" s="32">
        <f t="shared" si="282"/>
        <v>81133</v>
      </c>
      <c r="AD675" s="32">
        <v>180000</v>
      </c>
      <c r="AE675" s="32">
        <v>0</v>
      </c>
      <c r="AF675" s="35">
        <v>2021</v>
      </c>
      <c r="AG675" s="35">
        <v>2021</v>
      </c>
      <c r="AH675" s="36">
        <v>2021</v>
      </c>
      <c r="AT675" s="21" t="e">
        <f t="shared" si="270"/>
        <v>#N/A</v>
      </c>
    </row>
    <row r="676" spans="1:46" ht="61.5" x14ac:dyDescent="0.85">
      <c r="A676" s="21">
        <v>1</v>
      </c>
      <c r="B676" s="70">
        <f>SUBTOTAL(103,$A$535:A676)</f>
        <v>140</v>
      </c>
      <c r="C676" s="25" t="s">
        <v>431</v>
      </c>
      <c r="D676" s="32">
        <f t="shared" si="279"/>
        <v>2895000</v>
      </c>
      <c r="E676" s="32">
        <v>0</v>
      </c>
      <c r="F676" s="32">
        <v>0</v>
      </c>
      <c r="G676" s="32">
        <v>0</v>
      </c>
      <c r="H676" s="32">
        <v>0</v>
      </c>
      <c r="I676" s="32">
        <v>0</v>
      </c>
      <c r="J676" s="32">
        <v>0</v>
      </c>
      <c r="K676" s="34">
        <v>0</v>
      </c>
      <c r="L676" s="32">
        <v>0</v>
      </c>
      <c r="M676" s="32">
        <v>579</v>
      </c>
      <c r="N676" s="32">
        <v>2704433.5</v>
      </c>
      <c r="O676" s="32">
        <v>0</v>
      </c>
      <c r="P676" s="32">
        <v>0</v>
      </c>
      <c r="Q676" s="32">
        <v>0</v>
      </c>
      <c r="R676" s="32">
        <v>0</v>
      </c>
      <c r="S676" s="32">
        <v>0</v>
      </c>
      <c r="T676" s="32">
        <v>0</v>
      </c>
      <c r="U676" s="32">
        <v>0</v>
      </c>
      <c r="V676" s="32">
        <v>0</v>
      </c>
      <c r="W676" s="32">
        <v>0</v>
      </c>
      <c r="X676" s="32">
        <v>0</v>
      </c>
      <c r="Y676" s="32">
        <v>0</v>
      </c>
      <c r="Z676" s="32">
        <v>0</v>
      </c>
      <c r="AA676" s="32">
        <v>0</v>
      </c>
      <c r="AB676" s="32">
        <v>0</v>
      </c>
      <c r="AC676" s="32">
        <f t="shared" si="282"/>
        <v>40566.5</v>
      </c>
      <c r="AD676" s="32">
        <v>150000</v>
      </c>
      <c r="AE676" s="32">
        <v>0</v>
      </c>
      <c r="AF676" s="35">
        <v>2021</v>
      </c>
      <c r="AG676" s="35">
        <v>2021</v>
      </c>
      <c r="AH676" s="36">
        <v>2021</v>
      </c>
      <c r="AT676" s="21" t="e">
        <f t="shared" si="270"/>
        <v>#N/A</v>
      </c>
    </row>
    <row r="677" spans="1:46" ht="61.5" x14ac:dyDescent="0.85">
      <c r="A677" s="21">
        <v>1</v>
      </c>
      <c r="B677" s="70">
        <f>SUBTOTAL(103,$A$535:A677)</f>
        <v>141</v>
      </c>
      <c r="C677" s="25" t="s">
        <v>432</v>
      </c>
      <c r="D677" s="32">
        <f t="shared" si="279"/>
        <v>2850000</v>
      </c>
      <c r="E677" s="32">
        <v>0</v>
      </c>
      <c r="F677" s="32">
        <v>0</v>
      </c>
      <c r="G677" s="32">
        <v>0</v>
      </c>
      <c r="H677" s="32">
        <v>0</v>
      </c>
      <c r="I677" s="32">
        <v>0</v>
      </c>
      <c r="J677" s="32">
        <v>0</v>
      </c>
      <c r="K677" s="34">
        <v>0</v>
      </c>
      <c r="L677" s="32">
        <v>0</v>
      </c>
      <c r="M677" s="32">
        <v>570</v>
      </c>
      <c r="N677" s="32">
        <v>2660098.52</v>
      </c>
      <c r="O677" s="32">
        <v>0</v>
      </c>
      <c r="P677" s="32">
        <v>0</v>
      </c>
      <c r="Q677" s="32">
        <v>0</v>
      </c>
      <c r="R677" s="32">
        <v>0</v>
      </c>
      <c r="S677" s="32">
        <v>0</v>
      </c>
      <c r="T677" s="32">
        <v>0</v>
      </c>
      <c r="U677" s="32">
        <v>0</v>
      </c>
      <c r="V677" s="32">
        <v>0</v>
      </c>
      <c r="W677" s="32">
        <v>0</v>
      </c>
      <c r="X677" s="32">
        <v>0</v>
      </c>
      <c r="Y677" s="32">
        <v>0</v>
      </c>
      <c r="Z677" s="32">
        <v>0</v>
      </c>
      <c r="AA677" s="32">
        <v>0</v>
      </c>
      <c r="AB677" s="32">
        <v>0</v>
      </c>
      <c r="AC677" s="32">
        <f t="shared" si="282"/>
        <v>39901.480000000003</v>
      </c>
      <c r="AD677" s="32">
        <v>150000</v>
      </c>
      <c r="AE677" s="32">
        <v>0</v>
      </c>
      <c r="AF677" s="35">
        <v>2021</v>
      </c>
      <c r="AG677" s="35">
        <v>2021</v>
      </c>
      <c r="AH677" s="36">
        <v>2021</v>
      </c>
      <c r="AT677" s="21" t="e">
        <f t="shared" si="270"/>
        <v>#N/A</v>
      </c>
    </row>
    <row r="678" spans="1:46" ht="61.5" x14ac:dyDescent="0.85">
      <c r="A678" s="21">
        <v>1</v>
      </c>
      <c r="B678" s="70">
        <f>SUBTOTAL(103,$A$535:A678)</f>
        <v>142</v>
      </c>
      <c r="C678" s="25" t="s">
        <v>433</v>
      </c>
      <c r="D678" s="32">
        <f t="shared" si="279"/>
        <v>1600000</v>
      </c>
      <c r="E678" s="32">
        <v>0</v>
      </c>
      <c r="F678" s="32">
        <v>0</v>
      </c>
      <c r="G678" s="32">
        <v>0</v>
      </c>
      <c r="H678" s="32">
        <v>0</v>
      </c>
      <c r="I678" s="32">
        <v>0</v>
      </c>
      <c r="J678" s="32">
        <v>0</v>
      </c>
      <c r="K678" s="34">
        <v>0</v>
      </c>
      <c r="L678" s="32">
        <v>0</v>
      </c>
      <c r="M678" s="32">
        <v>322</v>
      </c>
      <c r="N678" s="32">
        <v>1458128.08</v>
      </c>
      <c r="O678" s="32">
        <v>0</v>
      </c>
      <c r="P678" s="32">
        <v>0</v>
      </c>
      <c r="Q678" s="32">
        <v>0</v>
      </c>
      <c r="R678" s="32">
        <v>0</v>
      </c>
      <c r="S678" s="32">
        <v>0</v>
      </c>
      <c r="T678" s="32">
        <v>0</v>
      </c>
      <c r="U678" s="32">
        <v>0</v>
      </c>
      <c r="V678" s="32">
        <v>0</v>
      </c>
      <c r="W678" s="32">
        <v>0</v>
      </c>
      <c r="X678" s="32">
        <v>0</v>
      </c>
      <c r="Y678" s="32">
        <v>0</v>
      </c>
      <c r="Z678" s="32">
        <v>0</v>
      </c>
      <c r="AA678" s="32">
        <v>0</v>
      </c>
      <c r="AB678" s="32">
        <v>0</v>
      </c>
      <c r="AC678" s="32">
        <f t="shared" si="282"/>
        <v>21871.919999999998</v>
      </c>
      <c r="AD678" s="32">
        <v>120000</v>
      </c>
      <c r="AE678" s="32">
        <v>0</v>
      </c>
      <c r="AF678" s="35">
        <v>2021</v>
      </c>
      <c r="AG678" s="35">
        <v>2021</v>
      </c>
      <c r="AH678" s="36">
        <v>2021</v>
      </c>
      <c r="AT678" s="21" t="e">
        <f t="shared" si="270"/>
        <v>#N/A</v>
      </c>
    </row>
    <row r="679" spans="1:46" ht="61.5" x14ac:dyDescent="0.85">
      <c r="A679" s="21">
        <v>1</v>
      </c>
      <c r="B679" s="70">
        <f>SUBTOTAL(103,$A$535:A679)</f>
        <v>143</v>
      </c>
      <c r="C679" s="25" t="s">
        <v>434</v>
      </c>
      <c r="D679" s="32">
        <f t="shared" si="279"/>
        <v>8150000</v>
      </c>
      <c r="E679" s="32">
        <v>0</v>
      </c>
      <c r="F679" s="32">
        <v>0</v>
      </c>
      <c r="G679" s="32">
        <v>0</v>
      </c>
      <c r="H679" s="32">
        <v>0</v>
      </c>
      <c r="I679" s="32">
        <v>0</v>
      </c>
      <c r="J679" s="32">
        <v>0</v>
      </c>
      <c r="K679" s="34">
        <v>0</v>
      </c>
      <c r="L679" s="32">
        <v>0</v>
      </c>
      <c r="M679" s="32">
        <v>1630</v>
      </c>
      <c r="N679" s="32">
        <v>7852216.75</v>
      </c>
      <c r="O679" s="32">
        <v>0</v>
      </c>
      <c r="P679" s="32">
        <v>0</v>
      </c>
      <c r="Q679" s="32">
        <v>0</v>
      </c>
      <c r="R679" s="32">
        <v>0</v>
      </c>
      <c r="S679" s="32">
        <v>0</v>
      </c>
      <c r="T679" s="32">
        <v>0</v>
      </c>
      <c r="U679" s="32">
        <v>0</v>
      </c>
      <c r="V679" s="32">
        <v>0</v>
      </c>
      <c r="W679" s="32">
        <v>0</v>
      </c>
      <c r="X679" s="32">
        <v>0</v>
      </c>
      <c r="Y679" s="32">
        <v>0</v>
      </c>
      <c r="Z679" s="32">
        <v>0</v>
      </c>
      <c r="AA679" s="32">
        <v>0</v>
      </c>
      <c r="AB679" s="32">
        <v>0</v>
      </c>
      <c r="AC679" s="32">
        <f t="shared" si="282"/>
        <v>117783.25</v>
      </c>
      <c r="AD679" s="32">
        <v>180000</v>
      </c>
      <c r="AE679" s="32">
        <v>0</v>
      </c>
      <c r="AF679" s="35">
        <v>2021</v>
      </c>
      <c r="AG679" s="35">
        <v>2021</v>
      </c>
      <c r="AH679" s="36">
        <v>2021</v>
      </c>
      <c r="AT679" s="21" t="e">
        <f t="shared" si="270"/>
        <v>#N/A</v>
      </c>
    </row>
    <row r="680" spans="1:46" ht="61.5" x14ac:dyDescent="0.85">
      <c r="A680" s="21">
        <v>1</v>
      </c>
      <c r="B680" s="70">
        <f>SUBTOTAL(103,$A$535:A680)</f>
        <v>144</v>
      </c>
      <c r="C680" s="25" t="s">
        <v>435</v>
      </c>
      <c r="D680" s="32">
        <f t="shared" si="279"/>
        <v>2500000</v>
      </c>
      <c r="E680" s="32">
        <v>0</v>
      </c>
      <c r="F680" s="32">
        <v>0</v>
      </c>
      <c r="G680" s="32">
        <v>0</v>
      </c>
      <c r="H680" s="32">
        <v>0</v>
      </c>
      <c r="I680" s="32">
        <v>0</v>
      </c>
      <c r="J680" s="32">
        <v>0</v>
      </c>
      <c r="K680" s="34">
        <v>0</v>
      </c>
      <c r="L680" s="32">
        <v>0</v>
      </c>
      <c r="M680" s="32">
        <v>500</v>
      </c>
      <c r="N680" s="32">
        <v>2344827.59</v>
      </c>
      <c r="O680" s="32">
        <v>0</v>
      </c>
      <c r="P680" s="32">
        <v>0</v>
      </c>
      <c r="Q680" s="32">
        <v>0</v>
      </c>
      <c r="R680" s="32">
        <v>0</v>
      </c>
      <c r="S680" s="32">
        <v>0</v>
      </c>
      <c r="T680" s="32">
        <v>0</v>
      </c>
      <c r="U680" s="32">
        <v>0</v>
      </c>
      <c r="V680" s="32">
        <v>0</v>
      </c>
      <c r="W680" s="32">
        <v>0</v>
      </c>
      <c r="X680" s="32">
        <v>0</v>
      </c>
      <c r="Y680" s="32">
        <v>0</v>
      </c>
      <c r="Z680" s="32">
        <v>0</v>
      </c>
      <c r="AA680" s="32">
        <v>0</v>
      </c>
      <c r="AB680" s="32">
        <v>0</v>
      </c>
      <c r="AC680" s="32">
        <f t="shared" si="282"/>
        <v>35172.410000000003</v>
      </c>
      <c r="AD680" s="32">
        <v>120000</v>
      </c>
      <c r="AE680" s="32">
        <v>0</v>
      </c>
      <c r="AF680" s="35">
        <v>2021</v>
      </c>
      <c r="AG680" s="35">
        <v>2021</v>
      </c>
      <c r="AH680" s="36">
        <v>2021</v>
      </c>
      <c r="AT680" s="21" t="e">
        <f t="shared" si="270"/>
        <v>#N/A</v>
      </c>
    </row>
    <row r="681" spans="1:46" ht="61.5" x14ac:dyDescent="0.85">
      <c r="A681" s="21">
        <v>1</v>
      </c>
      <c r="B681" s="70">
        <f>SUBTOTAL(103,$A$535:A681)</f>
        <v>145</v>
      </c>
      <c r="C681" s="25" t="s">
        <v>436</v>
      </c>
      <c r="D681" s="32">
        <f t="shared" si="279"/>
        <v>2131474</v>
      </c>
      <c r="E681" s="32">
        <v>0</v>
      </c>
      <c r="F681" s="32">
        <v>0</v>
      </c>
      <c r="G681" s="32">
        <v>0</v>
      </c>
      <c r="H681" s="32">
        <v>0</v>
      </c>
      <c r="I681" s="32">
        <v>0</v>
      </c>
      <c r="J681" s="32">
        <v>0</v>
      </c>
      <c r="K681" s="34">
        <v>0</v>
      </c>
      <c r="L681" s="32">
        <v>0</v>
      </c>
      <c r="M681" s="32">
        <v>420</v>
      </c>
      <c r="N681" s="32">
        <v>1981747.78</v>
      </c>
      <c r="O681" s="32">
        <v>0</v>
      </c>
      <c r="P681" s="32">
        <v>0</v>
      </c>
      <c r="Q681" s="32">
        <v>0</v>
      </c>
      <c r="R681" s="32">
        <v>0</v>
      </c>
      <c r="S681" s="32">
        <v>0</v>
      </c>
      <c r="T681" s="32">
        <v>0</v>
      </c>
      <c r="U681" s="32">
        <v>0</v>
      </c>
      <c r="V681" s="32">
        <v>0</v>
      </c>
      <c r="W681" s="32">
        <v>0</v>
      </c>
      <c r="X681" s="32">
        <v>0</v>
      </c>
      <c r="Y681" s="32">
        <v>0</v>
      </c>
      <c r="Z681" s="32">
        <v>0</v>
      </c>
      <c r="AA681" s="32">
        <v>0</v>
      </c>
      <c r="AB681" s="32">
        <v>0</v>
      </c>
      <c r="AC681" s="32">
        <f t="shared" si="282"/>
        <v>29726.22</v>
      </c>
      <c r="AD681" s="32">
        <v>120000</v>
      </c>
      <c r="AE681" s="32">
        <v>0</v>
      </c>
      <c r="AF681" s="35">
        <v>2021</v>
      </c>
      <c r="AG681" s="35">
        <v>2021</v>
      </c>
      <c r="AH681" s="36">
        <v>2021</v>
      </c>
      <c r="AT681" s="21" t="e">
        <f t="shared" si="270"/>
        <v>#N/A</v>
      </c>
    </row>
    <row r="682" spans="1:46" ht="61.5" x14ac:dyDescent="0.85">
      <c r="A682" s="21">
        <v>1</v>
      </c>
      <c r="B682" s="70">
        <f>SUBTOTAL(103,$A$535:A682)</f>
        <v>146</v>
      </c>
      <c r="C682" s="25" t="s">
        <v>207</v>
      </c>
      <c r="D682" s="32">
        <f t="shared" si="279"/>
        <v>3697950</v>
      </c>
      <c r="E682" s="32">
        <v>0</v>
      </c>
      <c r="F682" s="32">
        <v>0</v>
      </c>
      <c r="G682" s="32">
        <v>0</v>
      </c>
      <c r="H682" s="32">
        <v>0</v>
      </c>
      <c r="I682" s="32">
        <v>0</v>
      </c>
      <c r="J682" s="32">
        <v>0</v>
      </c>
      <c r="K682" s="34">
        <v>0</v>
      </c>
      <c r="L682" s="32">
        <v>0</v>
      </c>
      <c r="M682" s="32">
        <v>700</v>
      </c>
      <c r="N682" s="32">
        <v>3495517.24</v>
      </c>
      <c r="O682" s="32">
        <v>0</v>
      </c>
      <c r="P682" s="32">
        <v>0</v>
      </c>
      <c r="Q682" s="32">
        <v>0</v>
      </c>
      <c r="R682" s="32">
        <v>0</v>
      </c>
      <c r="S682" s="32">
        <v>0</v>
      </c>
      <c r="T682" s="32">
        <v>0</v>
      </c>
      <c r="U682" s="32">
        <v>0</v>
      </c>
      <c r="V682" s="32">
        <v>0</v>
      </c>
      <c r="W682" s="32">
        <v>0</v>
      </c>
      <c r="X682" s="32">
        <v>0</v>
      </c>
      <c r="Y682" s="32">
        <v>0</v>
      </c>
      <c r="Z682" s="32">
        <v>0</v>
      </c>
      <c r="AA682" s="32">
        <v>0</v>
      </c>
      <c r="AB682" s="32">
        <v>0</v>
      </c>
      <c r="AC682" s="32">
        <f t="shared" si="282"/>
        <v>52432.76</v>
      </c>
      <c r="AD682" s="32">
        <v>150000</v>
      </c>
      <c r="AE682" s="32">
        <v>0</v>
      </c>
      <c r="AF682" s="35">
        <v>2021</v>
      </c>
      <c r="AG682" s="35">
        <v>2021</v>
      </c>
      <c r="AH682" s="36">
        <v>2021</v>
      </c>
      <c r="AT682" s="21" t="e">
        <f t="shared" si="270"/>
        <v>#N/A</v>
      </c>
    </row>
    <row r="683" spans="1:46" ht="61.5" x14ac:dyDescent="0.85">
      <c r="A683" s="21">
        <v>1</v>
      </c>
      <c r="B683" s="70">
        <f>SUBTOTAL(103,$A$535:A683)</f>
        <v>147</v>
      </c>
      <c r="C683" s="25" t="s">
        <v>209</v>
      </c>
      <c r="D683" s="32">
        <f t="shared" si="279"/>
        <v>3680000</v>
      </c>
      <c r="E683" s="32">
        <v>0</v>
      </c>
      <c r="F683" s="32">
        <v>0</v>
      </c>
      <c r="G683" s="32">
        <v>0</v>
      </c>
      <c r="H683" s="32">
        <v>0</v>
      </c>
      <c r="I683" s="32">
        <v>0</v>
      </c>
      <c r="J683" s="32">
        <v>0</v>
      </c>
      <c r="K683" s="34">
        <v>0</v>
      </c>
      <c r="L683" s="32">
        <v>0</v>
      </c>
      <c r="M683" s="32">
        <v>695</v>
      </c>
      <c r="N683" s="32">
        <v>3477832.51</v>
      </c>
      <c r="O683" s="32">
        <v>0</v>
      </c>
      <c r="P683" s="32">
        <v>0</v>
      </c>
      <c r="Q683" s="32">
        <v>0</v>
      </c>
      <c r="R683" s="32">
        <v>0</v>
      </c>
      <c r="S683" s="32">
        <v>0</v>
      </c>
      <c r="T683" s="32">
        <v>0</v>
      </c>
      <c r="U683" s="32">
        <v>0</v>
      </c>
      <c r="V683" s="32">
        <v>0</v>
      </c>
      <c r="W683" s="32">
        <v>0</v>
      </c>
      <c r="X683" s="32">
        <v>0</v>
      </c>
      <c r="Y683" s="32">
        <v>0</v>
      </c>
      <c r="Z683" s="32">
        <v>0</v>
      </c>
      <c r="AA683" s="32">
        <v>0</v>
      </c>
      <c r="AB683" s="32">
        <v>0</v>
      </c>
      <c r="AC683" s="32">
        <f t="shared" si="282"/>
        <v>52167.49</v>
      </c>
      <c r="AD683" s="32">
        <v>150000</v>
      </c>
      <c r="AE683" s="32">
        <v>0</v>
      </c>
      <c r="AF683" s="35">
        <v>2021</v>
      </c>
      <c r="AG683" s="35">
        <v>2021</v>
      </c>
      <c r="AH683" s="36">
        <v>2021</v>
      </c>
      <c r="AT683" s="21" t="e">
        <f t="shared" si="270"/>
        <v>#N/A</v>
      </c>
    </row>
    <row r="684" spans="1:46" ht="61.5" x14ac:dyDescent="0.85">
      <c r="A684" s="21">
        <v>1</v>
      </c>
      <c r="B684" s="70">
        <f>SUBTOTAL(103,$A$535:A684)</f>
        <v>148</v>
      </c>
      <c r="C684" s="25" t="s">
        <v>208</v>
      </c>
      <c r="D684" s="32">
        <f t="shared" si="279"/>
        <v>3519757</v>
      </c>
      <c r="E684" s="32">
        <v>0</v>
      </c>
      <c r="F684" s="32">
        <v>0</v>
      </c>
      <c r="G684" s="32">
        <v>0</v>
      </c>
      <c r="H684" s="32">
        <v>0</v>
      </c>
      <c r="I684" s="32">
        <v>0</v>
      </c>
      <c r="J684" s="32">
        <v>0</v>
      </c>
      <c r="K684" s="34">
        <v>0</v>
      </c>
      <c r="L684" s="32">
        <v>0</v>
      </c>
      <c r="M684" s="32">
        <v>666</v>
      </c>
      <c r="N684" s="32">
        <v>3319957.64</v>
      </c>
      <c r="O684" s="32">
        <v>0</v>
      </c>
      <c r="P684" s="32">
        <v>0</v>
      </c>
      <c r="Q684" s="32">
        <v>0</v>
      </c>
      <c r="R684" s="32">
        <v>0</v>
      </c>
      <c r="S684" s="32">
        <v>0</v>
      </c>
      <c r="T684" s="32">
        <v>0</v>
      </c>
      <c r="U684" s="32">
        <v>0</v>
      </c>
      <c r="V684" s="32">
        <v>0</v>
      </c>
      <c r="W684" s="32">
        <v>0</v>
      </c>
      <c r="X684" s="32">
        <v>0</v>
      </c>
      <c r="Y684" s="32">
        <v>0</v>
      </c>
      <c r="Z684" s="32">
        <v>0</v>
      </c>
      <c r="AA684" s="32">
        <v>0</v>
      </c>
      <c r="AB684" s="32">
        <v>0</v>
      </c>
      <c r="AC684" s="32">
        <f t="shared" si="282"/>
        <v>49799.360000000001</v>
      </c>
      <c r="AD684" s="32">
        <v>150000</v>
      </c>
      <c r="AE684" s="32">
        <v>0</v>
      </c>
      <c r="AF684" s="35">
        <v>2021</v>
      </c>
      <c r="AG684" s="35">
        <v>2021</v>
      </c>
      <c r="AH684" s="36">
        <v>2021</v>
      </c>
      <c r="AT684" s="21" t="e">
        <f t="shared" si="270"/>
        <v>#N/A</v>
      </c>
    </row>
    <row r="685" spans="1:46" ht="61.5" x14ac:dyDescent="0.85">
      <c r="A685" s="21">
        <v>1</v>
      </c>
      <c r="B685" s="70">
        <f>SUBTOTAL(103,$A$535:A685)</f>
        <v>149</v>
      </c>
      <c r="C685" s="25" t="s">
        <v>437</v>
      </c>
      <c r="D685" s="32">
        <f t="shared" si="279"/>
        <v>4125000</v>
      </c>
      <c r="E685" s="32">
        <v>0</v>
      </c>
      <c r="F685" s="32">
        <v>0</v>
      </c>
      <c r="G685" s="32">
        <v>0</v>
      </c>
      <c r="H685" s="32">
        <v>0</v>
      </c>
      <c r="I685" s="32">
        <v>0</v>
      </c>
      <c r="J685" s="32">
        <v>0</v>
      </c>
      <c r="K685" s="34">
        <v>0</v>
      </c>
      <c r="L685" s="32">
        <v>0</v>
      </c>
      <c r="M685" s="32">
        <v>825</v>
      </c>
      <c r="N685" s="32">
        <v>3916256.16</v>
      </c>
      <c r="O685" s="32">
        <v>0</v>
      </c>
      <c r="P685" s="32">
        <v>0</v>
      </c>
      <c r="Q685" s="32">
        <v>0</v>
      </c>
      <c r="R685" s="32">
        <v>0</v>
      </c>
      <c r="S685" s="32">
        <v>0</v>
      </c>
      <c r="T685" s="32">
        <v>0</v>
      </c>
      <c r="U685" s="32">
        <v>0</v>
      </c>
      <c r="V685" s="32">
        <v>0</v>
      </c>
      <c r="W685" s="32">
        <v>0</v>
      </c>
      <c r="X685" s="32">
        <v>0</v>
      </c>
      <c r="Y685" s="32">
        <v>0</v>
      </c>
      <c r="Z685" s="32">
        <v>0</v>
      </c>
      <c r="AA685" s="32">
        <v>0</v>
      </c>
      <c r="AB685" s="32">
        <v>0</v>
      </c>
      <c r="AC685" s="32">
        <f t="shared" si="282"/>
        <v>58743.839999999997</v>
      </c>
      <c r="AD685" s="32">
        <v>150000</v>
      </c>
      <c r="AE685" s="32">
        <v>0</v>
      </c>
      <c r="AF685" s="35">
        <v>2021</v>
      </c>
      <c r="AG685" s="35">
        <v>2021</v>
      </c>
      <c r="AH685" s="36">
        <v>2021</v>
      </c>
      <c r="AT685" s="21" t="e">
        <f t="shared" si="270"/>
        <v>#N/A</v>
      </c>
    </row>
    <row r="686" spans="1:46" ht="61.5" x14ac:dyDescent="0.85">
      <c r="A686" s="21">
        <v>1</v>
      </c>
      <c r="B686" s="70">
        <f>SUBTOTAL(103,$A$535:A686)</f>
        <v>150</v>
      </c>
      <c r="C686" s="25" t="s">
        <v>438</v>
      </c>
      <c r="D686" s="32">
        <f t="shared" si="279"/>
        <v>2000000</v>
      </c>
      <c r="E686" s="32">
        <v>0</v>
      </c>
      <c r="F686" s="32">
        <v>0</v>
      </c>
      <c r="G686" s="32">
        <v>0</v>
      </c>
      <c r="H686" s="32">
        <v>0</v>
      </c>
      <c r="I686" s="32">
        <v>0</v>
      </c>
      <c r="J686" s="32">
        <v>0</v>
      </c>
      <c r="K686" s="34">
        <v>0</v>
      </c>
      <c r="L686" s="32">
        <v>0</v>
      </c>
      <c r="M686" s="32">
        <v>365</v>
      </c>
      <c r="N686" s="32">
        <f>1852216.75-118226.6</f>
        <v>1733990.15</v>
      </c>
      <c r="O686" s="32">
        <v>0</v>
      </c>
      <c r="P686" s="32">
        <v>0</v>
      </c>
      <c r="Q686" s="32">
        <v>0</v>
      </c>
      <c r="R686" s="32">
        <v>0</v>
      </c>
      <c r="S686" s="32">
        <v>0</v>
      </c>
      <c r="T686" s="32">
        <v>0</v>
      </c>
      <c r="U686" s="32">
        <v>0</v>
      </c>
      <c r="V686" s="32">
        <v>0</v>
      </c>
      <c r="W686" s="32">
        <v>0</v>
      </c>
      <c r="X686" s="32">
        <v>0</v>
      </c>
      <c r="Y686" s="32">
        <v>0</v>
      </c>
      <c r="Z686" s="32">
        <v>0</v>
      </c>
      <c r="AA686" s="32">
        <v>0</v>
      </c>
      <c r="AB686" s="32">
        <v>0</v>
      </c>
      <c r="AC686" s="32">
        <f t="shared" si="282"/>
        <v>26009.85</v>
      </c>
      <c r="AD686" s="32">
        <v>120000</v>
      </c>
      <c r="AE686" s="32">
        <v>120000</v>
      </c>
      <c r="AF686" s="35">
        <v>2021</v>
      </c>
      <c r="AG686" s="35">
        <v>2021</v>
      </c>
      <c r="AH686" s="36">
        <v>2021</v>
      </c>
      <c r="AT686" s="21" t="e">
        <f t="shared" si="270"/>
        <v>#N/A</v>
      </c>
    </row>
    <row r="687" spans="1:46" ht="61.5" x14ac:dyDescent="0.85">
      <c r="A687" s="21">
        <v>1</v>
      </c>
      <c r="B687" s="70">
        <f>SUBTOTAL(103,$A$535:A687)</f>
        <v>151</v>
      </c>
      <c r="C687" s="25" t="s">
        <v>439</v>
      </c>
      <c r="D687" s="32">
        <f t="shared" si="279"/>
        <v>4900000</v>
      </c>
      <c r="E687" s="32">
        <v>0</v>
      </c>
      <c r="F687" s="32">
        <v>0</v>
      </c>
      <c r="G687" s="32">
        <v>0</v>
      </c>
      <c r="H687" s="32">
        <v>0</v>
      </c>
      <c r="I687" s="32">
        <v>0</v>
      </c>
      <c r="J687" s="32">
        <v>0</v>
      </c>
      <c r="K687" s="34">
        <v>0</v>
      </c>
      <c r="L687" s="32">
        <v>0</v>
      </c>
      <c r="M687" s="32">
        <v>0</v>
      </c>
      <c r="N687" s="32">
        <v>0</v>
      </c>
      <c r="O687" s="32">
        <v>0</v>
      </c>
      <c r="P687" s="32">
        <v>0</v>
      </c>
      <c r="Q687" s="32">
        <v>947</v>
      </c>
      <c r="R687" s="32">
        <v>4699507.3899999997</v>
      </c>
      <c r="S687" s="32">
        <v>0</v>
      </c>
      <c r="T687" s="32">
        <v>0</v>
      </c>
      <c r="U687" s="32">
        <v>0</v>
      </c>
      <c r="V687" s="32">
        <v>0</v>
      </c>
      <c r="W687" s="32">
        <v>0</v>
      </c>
      <c r="X687" s="32">
        <v>0</v>
      </c>
      <c r="Y687" s="32">
        <v>0</v>
      </c>
      <c r="Z687" s="32">
        <v>0</v>
      </c>
      <c r="AA687" s="32">
        <v>0</v>
      </c>
      <c r="AB687" s="32">
        <v>0</v>
      </c>
      <c r="AC687" s="32">
        <f t="shared" ref="AC687" si="283">ROUND(R687*1.5%,2)</f>
        <v>70492.61</v>
      </c>
      <c r="AD687" s="32">
        <v>130000</v>
      </c>
      <c r="AE687" s="32">
        <v>0</v>
      </c>
      <c r="AF687" s="35">
        <v>2021</v>
      </c>
      <c r="AG687" s="35">
        <v>2021</v>
      </c>
      <c r="AH687" s="36">
        <v>2021</v>
      </c>
      <c r="AT687" s="21" t="e">
        <f t="shared" si="270"/>
        <v>#N/A</v>
      </c>
    </row>
    <row r="688" spans="1:46" ht="61.5" x14ac:dyDescent="0.85">
      <c r="A688" s="21">
        <v>1</v>
      </c>
      <c r="B688" s="70">
        <f>SUBTOTAL(103,$A$535:A688)</f>
        <v>152</v>
      </c>
      <c r="C688" s="25" t="s">
        <v>440</v>
      </c>
      <c r="D688" s="32">
        <f t="shared" si="279"/>
        <v>3000000</v>
      </c>
      <c r="E688" s="32">
        <v>0</v>
      </c>
      <c r="F688" s="32">
        <v>0</v>
      </c>
      <c r="G688" s="32">
        <v>0</v>
      </c>
      <c r="H688" s="32">
        <v>0</v>
      </c>
      <c r="I688" s="32">
        <v>0</v>
      </c>
      <c r="J688" s="32">
        <v>0</v>
      </c>
      <c r="K688" s="34">
        <v>0</v>
      </c>
      <c r="L688" s="32">
        <v>0</v>
      </c>
      <c r="M688" s="32">
        <v>600</v>
      </c>
      <c r="N688" s="32">
        <v>2807881.77</v>
      </c>
      <c r="O688" s="32">
        <v>0</v>
      </c>
      <c r="P688" s="32">
        <v>0</v>
      </c>
      <c r="Q688" s="32">
        <v>0</v>
      </c>
      <c r="R688" s="32">
        <v>0</v>
      </c>
      <c r="S688" s="32">
        <v>0</v>
      </c>
      <c r="T688" s="32">
        <v>0</v>
      </c>
      <c r="U688" s="32">
        <v>0</v>
      </c>
      <c r="V688" s="32">
        <v>0</v>
      </c>
      <c r="W688" s="32">
        <v>0</v>
      </c>
      <c r="X688" s="32">
        <v>0</v>
      </c>
      <c r="Y688" s="32">
        <v>0</v>
      </c>
      <c r="Z688" s="32">
        <v>0</v>
      </c>
      <c r="AA688" s="32">
        <v>0</v>
      </c>
      <c r="AB688" s="32">
        <v>0</v>
      </c>
      <c r="AC688" s="32">
        <f t="shared" ref="AC688:AC716" si="284">ROUND(N688*1.5%,2)</f>
        <v>42118.23</v>
      </c>
      <c r="AD688" s="32">
        <v>150000</v>
      </c>
      <c r="AE688" s="32">
        <v>0</v>
      </c>
      <c r="AF688" s="35">
        <v>2021</v>
      </c>
      <c r="AG688" s="35">
        <v>2021</v>
      </c>
      <c r="AH688" s="36">
        <v>2021</v>
      </c>
      <c r="AT688" s="21" t="e">
        <f t="shared" si="270"/>
        <v>#N/A</v>
      </c>
    </row>
    <row r="689" spans="1:46" ht="61.5" x14ac:dyDescent="0.85">
      <c r="A689" s="21">
        <v>1</v>
      </c>
      <c r="B689" s="70">
        <f>SUBTOTAL(103,$A$535:A689)</f>
        <v>153</v>
      </c>
      <c r="C689" s="25" t="s">
        <v>441</v>
      </c>
      <c r="D689" s="32">
        <f t="shared" si="279"/>
        <v>2310000</v>
      </c>
      <c r="E689" s="32">
        <v>0</v>
      </c>
      <c r="F689" s="32">
        <v>0</v>
      </c>
      <c r="G689" s="32">
        <v>0</v>
      </c>
      <c r="H689" s="32">
        <v>0</v>
      </c>
      <c r="I689" s="32">
        <v>0</v>
      </c>
      <c r="J689" s="32">
        <v>0</v>
      </c>
      <c r="K689" s="34">
        <v>0</v>
      </c>
      <c r="L689" s="32">
        <v>0</v>
      </c>
      <c r="M689" s="32">
        <v>462</v>
      </c>
      <c r="N689" s="32">
        <v>2157635.4700000002</v>
      </c>
      <c r="O689" s="32">
        <v>0</v>
      </c>
      <c r="P689" s="32">
        <v>0</v>
      </c>
      <c r="Q689" s="32">
        <v>0</v>
      </c>
      <c r="R689" s="32">
        <v>0</v>
      </c>
      <c r="S689" s="32">
        <v>0</v>
      </c>
      <c r="T689" s="32">
        <v>0</v>
      </c>
      <c r="U689" s="32">
        <v>0</v>
      </c>
      <c r="V689" s="32">
        <v>0</v>
      </c>
      <c r="W689" s="32">
        <v>0</v>
      </c>
      <c r="X689" s="32">
        <v>0</v>
      </c>
      <c r="Y689" s="32">
        <v>0</v>
      </c>
      <c r="Z689" s="32">
        <v>0</v>
      </c>
      <c r="AA689" s="32">
        <v>0</v>
      </c>
      <c r="AB689" s="32">
        <v>0</v>
      </c>
      <c r="AC689" s="32">
        <f t="shared" si="284"/>
        <v>32364.53</v>
      </c>
      <c r="AD689" s="32">
        <v>120000</v>
      </c>
      <c r="AE689" s="32">
        <v>0</v>
      </c>
      <c r="AF689" s="35">
        <v>2021</v>
      </c>
      <c r="AG689" s="35">
        <v>2021</v>
      </c>
      <c r="AH689" s="36">
        <v>2021</v>
      </c>
      <c r="AT689" s="21" t="e">
        <f t="shared" si="270"/>
        <v>#N/A</v>
      </c>
    </row>
    <row r="690" spans="1:46" ht="61.5" x14ac:dyDescent="0.85">
      <c r="A690" s="21">
        <v>1</v>
      </c>
      <c r="B690" s="70">
        <f>SUBTOTAL(103,$A$535:A690)</f>
        <v>154</v>
      </c>
      <c r="C690" s="25" t="s">
        <v>442</v>
      </c>
      <c r="D690" s="32">
        <f t="shared" si="279"/>
        <v>150000</v>
      </c>
      <c r="E690" s="32">
        <v>0</v>
      </c>
      <c r="F690" s="32">
        <v>0</v>
      </c>
      <c r="G690" s="32">
        <v>0</v>
      </c>
      <c r="H690" s="32">
        <v>0</v>
      </c>
      <c r="I690" s="32">
        <v>0</v>
      </c>
      <c r="J690" s="32">
        <v>0</v>
      </c>
      <c r="K690" s="34">
        <v>0</v>
      </c>
      <c r="L690" s="32">
        <v>0</v>
      </c>
      <c r="M690" s="32">
        <v>0</v>
      </c>
      <c r="N690" s="32">
        <v>0</v>
      </c>
      <c r="O690" s="32">
        <v>0</v>
      </c>
      <c r="P690" s="32">
        <v>0</v>
      </c>
      <c r="Q690" s="32">
        <v>0</v>
      </c>
      <c r="R690" s="32">
        <v>0</v>
      </c>
      <c r="S690" s="32">
        <v>0</v>
      </c>
      <c r="T690" s="32">
        <v>0</v>
      </c>
      <c r="U690" s="32">
        <v>0</v>
      </c>
      <c r="V690" s="32">
        <v>0</v>
      </c>
      <c r="W690" s="32">
        <v>0</v>
      </c>
      <c r="X690" s="32">
        <v>0</v>
      </c>
      <c r="Y690" s="32">
        <v>0</v>
      </c>
      <c r="Z690" s="32">
        <v>0</v>
      </c>
      <c r="AA690" s="32">
        <v>0</v>
      </c>
      <c r="AB690" s="32">
        <v>0</v>
      </c>
      <c r="AC690" s="32">
        <f t="shared" si="284"/>
        <v>0</v>
      </c>
      <c r="AD690" s="32">
        <v>150000</v>
      </c>
      <c r="AE690" s="32">
        <v>0</v>
      </c>
      <c r="AF690" s="35">
        <v>2021</v>
      </c>
      <c r="AG690" s="35" t="s">
        <v>275</v>
      </c>
      <c r="AH690" s="36" t="s">
        <v>275</v>
      </c>
    </row>
    <row r="691" spans="1:46" ht="61.5" x14ac:dyDescent="0.85">
      <c r="A691" s="21">
        <v>1</v>
      </c>
      <c r="B691" s="70">
        <f>SUBTOTAL(103,$A$535:A691)</f>
        <v>155</v>
      </c>
      <c r="C691" s="25" t="s">
        <v>443</v>
      </c>
      <c r="D691" s="32">
        <f t="shared" si="279"/>
        <v>150000</v>
      </c>
      <c r="E691" s="32">
        <v>0</v>
      </c>
      <c r="F691" s="32">
        <v>0</v>
      </c>
      <c r="G691" s="32">
        <v>0</v>
      </c>
      <c r="H691" s="32">
        <v>0</v>
      </c>
      <c r="I691" s="32">
        <v>0</v>
      </c>
      <c r="J691" s="32">
        <v>0</v>
      </c>
      <c r="K691" s="34">
        <v>0</v>
      </c>
      <c r="L691" s="32">
        <v>0</v>
      </c>
      <c r="M691" s="32">
        <v>0</v>
      </c>
      <c r="N691" s="32">
        <v>0</v>
      </c>
      <c r="O691" s="32">
        <v>0</v>
      </c>
      <c r="P691" s="32">
        <v>0</v>
      </c>
      <c r="Q691" s="32">
        <v>0</v>
      </c>
      <c r="R691" s="32">
        <v>0</v>
      </c>
      <c r="S691" s="32">
        <v>0</v>
      </c>
      <c r="T691" s="32">
        <v>0</v>
      </c>
      <c r="U691" s="32">
        <v>0</v>
      </c>
      <c r="V691" s="32">
        <v>0</v>
      </c>
      <c r="W691" s="32">
        <v>0</v>
      </c>
      <c r="X691" s="32">
        <v>0</v>
      </c>
      <c r="Y691" s="32">
        <v>0</v>
      </c>
      <c r="Z691" s="32">
        <v>0</v>
      </c>
      <c r="AA691" s="32">
        <v>0</v>
      </c>
      <c r="AB691" s="32">
        <v>0</v>
      </c>
      <c r="AC691" s="32">
        <f t="shared" si="284"/>
        <v>0</v>
      </c>
      <c r="AD691" s="32">
        <v>150000</v>
      </c>
      <c r="AE691" s="32">
        <v>0</v>
      </c>
      <c r="AF691" s="35">
        <v>2021</v>
      </c>
      <c r="AG691" s="35" t="s">
        <v>275</v>
      </c>
      <c r="AH691" s="36" t="s">
        <v>275</v>
      </c>
    </row>
    <row r="692" spans="1:46" ht="61.5" x14ac:dyDescent="0.85">
      <c r="A692" s="21">
        <v>1</v>
      </c>
      <c r="B692" s="70">
        <f>SUBTOTAL(103,$A$535:A692)</f>
        <v>156</v>
      </c>
      <c r="C692" s="25" t="s">
        <v>444</v>
      </c>
      <c r="D692" s="32">
        <f t="shared" si="279"/>
        <v>180000</v>
      </c>
      <c r="E692" s="32">
        <v>0</v>
      </c>
      <c r="F692" s="32">
        <v>0</v>
      </c>
      <c r="G692" s="32">
        <v>0</v>
      </c>
      <c r="H692" s="32">
        <v>0</v>
      </c>
      <c r="I692" s="32">
        <v>0</v>
      </c>
      <c r="J692" s="32">
        <v>0</v>
      </c>
      <c r="K692" s="34">
        <v>0</v>
      </c>
      <c r="L692" s="32">
        <v>0</v>
      </c>
      <c r="M692" s="32">
        <v>0</v>
      </c>
      <c r="N692" s="32">
        <v>0</v>
      </c>
      <c r="O692" s="32">
        <v>0</v>
      </c>
      <c r="P692" s="32">
        <v>0</v>
      </c>
      <c r="Q692" s="32">
        <v>0</v>
      </c>
      <c r="R692" s="32">
        <v>0</v>
      </c>
      <c r="S692" s="32">
        <v>0</v>
      </c>
      <c r="T692" s="32">
        <v>0</v>
      </c>
      <c r="U692" s="32">
        <v>0</v>
      </c>
      <c r="V692" s="32">
        <v>0</v>
      </c>
      <c r="W692" s="32">
        <v>0</v>
      </c>
      <c r="X692" s="32">
        <v>0</v>
      </c>
      <c r="Y692" s="32">
        <v>0</v>
      </c>
      <c r="Z692" s="32">
        <v>0</v>
      </c>
      <c r="AA692" s="32">
        <v>0</v>
      </c>
      <c r="AB692" s="32">
        <v>0</v>
      </c>
      <c r="AC692" s="32">
        <f t="shared" si="284"/>
        <v>0</v>
      </c>
      <c r="AD692" s="32">
        <v>180000</v>
      </c>
      <c r="AE692" s="32">
        <v>0</v>
      </c>
      <c r="AF692" s="35">
        <v>2021</v>
      </c>
      <c r="AG692" s="35" t="s">
        <v>275</v>
      </c>
      <c r="AH692" s="36" t="s">
        <v>275</v>
      </c>
    </row>
    <row r="693" spans="1:46" ht="61.5" x14ac:dyDescent="0.85">
      <c r="A693" s="21">
        <v>1</v>
      </c>
      <c r="B693" s="70">
        <f>SUBTOTAL(103,$A$535:A693)</f>
        <v>157</v>
      </c>
      <c r="C693" s="25" t="s">
        <v>445</v>
      </c>
      <c r="D693" s="32">
        <f t="shared" si="279"/>
        <v>200000</v>
      </c>
      <c r="E693" s="32">
        <v>0</v>
      </c>
      <c r="F693" s="32">
        <v>0</v>
      </c>
      <c r="G693" s="32">
        <v>0</v>
      </c>
      <c r="H693" s="32">
        <v>0</v>
      </c>
      <c r="I693" s="32">
        <v>0</v>
      </c>
      <c r="J693" s="32">
        <v>0</v>
      </c>
      <c r="K693" s="34">
        <v>0</v>
      </c>
      <c r="L693" s="32">
        <v>0</v>
      </c>
      <c r="M693" s="32">
        <v>0</v>
      </c>
      <c r="N693" s="32">
        <v>0</v>
      </c>
      <c r="O693" s="32">
        <v>0</v>
      </c>
      <c r="P693" s="32">
        <v>0</v>
      </c>
      <c r="Q693" s="32">
        <v>0</v>
      </c>
      <c r="R693" s="32">
        <v>0</v>
      </c>
      <c r="S693" s="32">
        <v>0</v>
      </c>
      <c r="T693" s="32">
        <v>0</v>
      </c>
      <c r="U693" s="32">
        <v>0</v>
      </c>
      <c r="V693" s="32">
        <v>0</v>
      </c>
      <c r="W693" s="32">
        <v>0</v>
      </c>
      <c r="X693" s="32">
        <v>0</v>
      </c>
      <c r="Y693" s="32">
        <v>0</v>
      </c>
      <c r="Z693" s="32">
        <v>0</v>
      </c>
      <c r="AA693" s="32">
        <v>0</v>
      </c>
      <c r="AB693" s="32">
        <v>0</v>
      </c>
      <c r="AC693" s="32">
        <f t="shared" si="284"/>
        <v>0</v>
      </c>
      <c r="AD693" s="32">
        <v>200000</v>
      </c>
      <c r="AE693" s="32">
        <v>0</v>
      </c>
      <c r="AF693" s="35">
        <v>2021</v>
      </c>
      <c r="AG693" s="35" t="s">
        <v>275</v>
      </c>
      <c r="AH693" s="36" t="s">
        <v>275</v>
      </c>
    </row>
    <row r="694" spans="1:46" ht="61.5" x14ac:dyDescent="0.85">
      <c r="A694" s="21">
        <v>1</v>
      </c>
      <c r="B694" s="70">
        <f>SUBTOTAL(103,$A$535:A694)</f>
        <v>158</v>
      </c>
      <c r="C694" s="25" t="s">
        <v>446</v>
      </c>
      <c r="D694" s="32">
        <f t="shared" si="279"/>
        <v>150000</v>
      </c>
      <c r="E694" s="32">
        <v>0</v>
      </c>
      <c r="F694" s="32">
        <v>0</v>
      </c>
      <c r="G694" s="32">
        <v>0</v>
      </c>
      <c r="H694" s="32">
        <v>0</v>
      </c>
      <c r="I694" s="32">
        <v>0</v>
      </c>
      <c r="J694" s="32">
        <v>0</v>
      </c>
      <c r="K694" s="34">
        <v>0</v>
      </c>
      <c r="L694" s="32">
        <v>0</v>
      </c>
      <c r="M694" s="32">
        <v>0</v>
      </c>
      <c r="N694" s="32">
        <v>0</v>
      </c>
      <c r="O694" s="32">
        <v>0</v>
      </c>
      <c r="P694" s="32">
        <v>0</v>
      </c>
      <c r="Q694" s="32">
        <v>0</v>
      </c>
      <c r="R694" s="32">
        <v>0</v>
      </c>
      <c r="S694" s="32">
        <v>0</v>
      </c>
      <c r="T694" s="32">
        <v>0</v>
      </c>
      <c r="U694" s="32">
        <v>0</v>
      </c>
      <c r="V694" s="32">
        <v>0</v>
      </c>
      <c r="W694" s="32">
        <v>0</v>
      </c>
      <c r="X694" s="32">
        <v>0</v>
      </c>
      <c r="Y694" s="32">
        <v>0</v>
      </c>
      <c r="Z694" s="32">
        <v>0</v>
      </c>
      <c r="AA694" s="32">
        <v>0</v>
      </c>
      <c r="AB694" s="32">
        <v>0</v>
      </c>
      <c r="AC694" s="32">
        <f t="shared" si="284"/>
        <v>0</v>
      </c>
      <c r="AD694" s="32">
        <v>150000</v>
      </c>
      <c r="AE694" s="32">
        <v>0</v>
      </c>
      <c r="AF694" s="35">
        <v>2021</v>
      </c>
      <c r="AG694" s="35" t="s">
        <v>275</v>
      </c>
      <c r="AH694" s="36" t="s">
        <v>275</v>
      </c>
    </row>
    <row r="695" spans="1:46" ht="61.5" x14ac:dyDescent="0.85">
      <c r="A695" s="21">
        <v>1</v>
      </c>
      <c r="B695" s="70">
        <f>SUBTOTAL(103,$A$535:A695)</f>
        <v>159</v>
      </c>
      <c r="C695" s="25" t="s">
        <v>447</v>
      </c>
      <c r="D695" s="32">
        <f t="shared" si="279"/>
        <v>180000</v>
      </c>
      <c r="E695" s="32">
        <v>0</v>
      </c>
      <c r="F695" s="32">
        <v>0</v>
      </c>
      <c r="G695" s="32">
        <v>0</v>
      </c>
      <c r="H695" s="32">
        <v>0</v>
      </c>
      <c r="I695" s="32">
        <v>0</v>
      </c>
      <c r="J695" s="32">
        <v>0</v>
      </c>
      <c r="K695" s="34">
        <v>0</v>
      </c>
      <c r="L695" s="32">
        <v>0</v>
      </c>
      <c r="M695" s="32">
        <v>0</v>
      </c>
      <c r="N695" s="32">
        <v>0</v>
      </c>
      <c r="O695" s="32">
        <v>0</v>
      </c>
      <c r="P695" s="32">
        <v>0</v>
      </c>
      <c r="Q695" s="32">
        <v>0</v>
      </c>
      <c r="R695" s="32">
        <v>0</v>
      </c>
      <c r="S695" s="32">
        <v>0</v>
      </c>
      <c r="T695" s="32">
        <v>0</v>
      </c>
      <c r="U695" s="32">
        <v>0</v>
      </c>
      <c r="V695" s="32">
        <v>0</v>
      </c>
      <c r="W695" s="32">
        <v>0</v>
      </c>
      <c r="X695" s="32">
        <v>0</v>
      </c>
      <c r="Y695" s="32">
        <v>0</v>
      </c>
      <c r="Z695" s="32">
        <v>0</v>
      </c>
      <c r="AA695" s="32">
        <v>0</v>
      </c>
      <c r="AB695" s="32">
        <v>0</v>
      </c>
      <c r="AC695" s="32">
        <f t="shared" si="284"/>
        <v>0</v>
      </c>
      <c r="AD695" s="32">
        <v>180000</v>
      </c>
      <c r="AE695" s="32">
        <v>0</v>
      </c>
      <c r="AF695" s="35">
        <v>2021</v>
      </c>
      <c r="AG695" s="35" t="s">
        <v>275</v>
      </c>
      <c r="AH695" s="36" t="s">
        <v>275</v>
      </c>
    </row>
    <row r="696" spans="1:46" ht="61.5" x14ac:dyDescent="0.85">
      <c r="A696" s="21">
        <v>1</v>
      </c>
      <c r="B696" s="70">
        <f>SUBTOTAL(103,$A$535:A696)</f>
        <v>160</v>
      </c>
      <c r="C696" s="25" t="s">
        <v>448</v>
      </c>
      <c r="D696" s="32">
        <f t="shared" si="279"/>
        <v>150000</v>
      </c>
      <c r="E696" s="32">
        <v>0</v>
      </c>
      <c r="F696" s="32">
        <v>0</v>
      </c>
      <c r="G696" s="32">
        <v>0</v>
      </c>
      <c r="H696" s="32">
        <v>0</v>
      </c>
      <c r="I696" s="32">
        <v>0</v>
      </c>
      <c r="J696" s="32">
        <v>0</v>
      </c>
      <c r="K696" s="34">
        <v>0</v>
      </c>
      <c r="L696" s="32">
        <v>0</v>
      </c>
      <c r="M696" s="32">
        <v>0</v>
      </c>
      <c r="N696" s="32">
        <v>0</v>
      </c>
      <c r="O696" s="32">
        <v>0</v>
      </c>
      <c r="P696" s="32">
        <v>0</v>
      </c>
      <c r="Q696" s="32">
        <v>0</v>
      </c>
      <c r="R696" s="32">
        <v>0</v>
      </c>
      <c r="S696" s="32">
        <v>0</v>
      </c>
      <c r="T696" s="32">
        <v>0</v>
      </c>
      <c r="U696" s="32">
        <v>0</v>
      </c>
      <c r="V696" s="32">
        <v>0</v>
      </c>
      <c r="W696" s="32">
        <v>0</v>
      </c>
      <c r="X696" s="32">
        <v>0</v>
      </c>
      <c r="Y696" s="32">
        <v>0</v>
      </c>
      <c r="Z696" s="32">
        <v>0</v>
      </c>
      <c r="AA696" s="32">
        <v>0</v>
      </c>
      <c r="AB696" s="32">
        <v>0</v>
      </c>
      <c r="AC696" s="32">
        <f t="shared" si="284"/>
        <v>0</v>
      </c>
      <c r="AD696" s="32">
        <v>150000</v>
      </c>
      <c r="AE696" s="32">
        <v>0</v>
      </c>
      <c r="AF696" s="35">
        <v>2021</v>
      </c>
      <c r="AG696" s="35" t="s">
        <v>275</v>
      </c>
      <c r="AH696" s="36" t="s">
        <v>275</v>
      </c>
    </row>
    <row r="697" spans="1:46" ht="61.5" x14ac:dyDescent="0.85">
      <c r="A697" s="21">
        <v>1</v>
      </c>
      <c r="B697" s="70">
        <f>SUBTOTAL(103,$A$535:A697)</f>
        <v>161</v>
      </c>
      <c r="C697" s="25" t="s">
        <v>449</v>
      </c>
      <c r="D697" s="32">
        <f t="shared" si="279"/>
        <v>120000</v>
      </c>
      <c r="E697" s="32">
        <v>0</v>
      </c>
      <c r="F697" s="32">
        <v>0</v>
      </c>
      <c r="G697" s="32">
        <v>0</v>
      </c>
      <c r="H697" s="32">
        <v>0</v>
      </c>
      <c r="I697" s="32">
        <v>0</v>
      </c>
      <c r="J697" s="32">
        <v>0</v>
      </c>
      <c r="K697" s="34">
        <v>0</v>
      </c>
      <c r="L697" s="32">
        <v>0</v>
      </c>
      <c r="M697" s="32">
        <v>0</v>
      </c>
      <c r="N697" s="32">
        <v>0</v>
      </c>
      <c r="O697" s="32">
        <v>0</v>
      </c>
      <c r="P697" s="32">
        <v>0</v>
      </c>
      <c r="Q697" s="32">
        <v>0</v>
      </c>
      <c r="R697" s="32">
        <v>0</v>
      </c>
      <c r="S697" s="32">
        <v>0</v>
      </c>
      <c r="T697" s="32">
        <v>0</v>
      </c>
      <c r="U697" s="32">
        <v>0</v>
      </c>
      <c r="V697" s="32">
        <v>0</v>
      </c>
      <c r="W697" s="32">
        <v>0</v>
      </c>
      <c r="X697" s="32">
        <v>0</v>
      </c>
      <c r="Y697" s="32">
        <v>0</v>
      </c>
      <c r="Z697" s="32">
        <v>0</v>
      </c>
      <c r="AA697" s="32">
        <v>0</v>
      </c>
      <c r="AB697" s="32">
        <v>0</v>
      </c>
      <c r="AC697" s="32">
        <f t="shared" si="284"/>
        <v>0</v>
      </c>
      <c r="AD697" s="32">
        <v>120000</v>
      </c>
      <c r="AE697" s="32">
        <v>0</v>
      </c>
      <c r="AF697" s="35">
        <v>2021</v>
      </c>
      <c r="AG697" s="35" t="s">
        <v>275</v>
      </c>
      <c r="AH697" s="36" t="s">
        <v>275</v>
      </c>
    </row>
    <row r="698" spans="1:46" ht="61.5" x14ac:dyDescent="0.85">
      <c r="A698" s="21">
        <v>1</v>
      </c>
      <c r="B698" s="70">
        <f>SUBTOTAL(103,$A$535:A698)</f>
        <v>162</v>
      </c>
      <c r="C698" s="25" t="s">
        <v>210</v>
      </c>
      <c r="D698" s="32">
        <f t="shared" si="279"/>
        <v>150000</v>
      </c>
      <c r="E698" s="32">
        <v>0</v>
      </c>
      <c r="F698" s="32">
        <v>0</v>
      </c>
      <c r="G698" s="32">
        <v>0</v>
      </c>
      <c r="H698" s="32">
        <v>0</v>
      </c>
      <c r="I698" s="32">
        <v>0</v>
      </c>
      <c r="J698" s="32">
        <v>0</v>
      </c>
      <c r="K698" s="34">
        <v>0</v>
      </c>
      <c r="L698" s="32">
        <v>0</v>
      </c>
      <c r="M698" s="32">
        <v>0</v>
      </c>
      <c r="N698" s="32">
        <v>0</v>
      </c>
      <c r="O698" s="32">
        <v>0</v>
      </c>
      <c r="P698" s="32">
        <v>0</v>
      </c>
      <c r="Q698" s="32">
        <v>0</v>
      </c>
      <c r="R698" s="32">
        <v>0</v>
      </c>
      <c r="S698" s="32">
        <v>0</v>
      </c>
      <c r="T698" s="32">
        <v>0</v>
      </c>
      <c r="U698" s="32">
        <v>0</v>
      </c>
      <c r="V698" s="32">
        <v>0</v>
      </c>
      <c r="W698" s="32">
        <v>0</v>
      </c>
      <c r="X698" s="32">
        <v>0</v>
      </c>
      <c r="Y698" s="32">
        <v>0</v>
      </c>
      <c r="Z698" s="32">
        <v>0</v>
      </c>
      <c r="AA698" s="32">
        <v>0</v>
      </c>
      <c r="AB698" s="32">
        <v>0</v>
      </c>
      <c r="AC698" s="32">
        <f t="shared" si="284"/>
        <v>0</v>
      </c>
      <c r="AD698" s="32">
        <v>150000</v>
      </c>
      <c r="AE698" s="32">
        <v>0</v>
      </c>
      <c r="AF698" s="35">
        <v>2021</v>
      </c>
      <c r="AG698" s="35" t="s">
        <v>275</v>
      </c>
      <c r="AH698" s="36" t="s">
        <v>275</v>
      </c>
    </row>
    <row r="699" spans="1:46" ht="61.5" x14ac:dyDescent="0.85">
      <c r="A699" s="21">
        <v>1</v>
      </c>
      <c r="B699" s="70">
        <f>SUBTOTAL(103,$A$535:A699)</f>
        <v>163</v>
      </c>
      <c r="C699" s="25" t="s">
        <v>211</v>
      </c>
      <c r="D699" s="32">
        <f t="shared" si="279"/>
        <v>70000</v>
      </c>
      <c r="E699" s="32">
        <v>0</v>
      </c>
      <c r="F699" s="32">
        <v>0</v>
      </c>
      <c r="G699" s="32">
        <v>0</v>
      </c>
      <c r="H699" s="32">
        <v>0</v>
      </c>
      <c r="I699" s="32">
        <v>0</v>
      </c>
      <c r="J699" s="32">
        <v>0</v>
      </c>
      <c r="K699" s="34">
        <v>0</v>
      </c>
      <c r="L699" s="32">
        <v>0</v>
      </c>
      <c r="M699" s="32">
        <v>0</v>
      </c>
      <c r="N699" s="32">
        <v>0</v>
      </c>
      <c r="O699" s="32">
        <v>0</v>
      </c>
      <c r="P699" s="32">
        <v>0</v>
      </c>
      <c r="Q699" s="32">
        <v>0</v>
      </c>
      <c r="R699" s="32">
        <v>0</v>
      </c>
      <c r="S699" s="32">
        <v>0</v>
      </c>
      <c r="T699" s="32">
        <v>0</v>
      </c>
      <c r="U699" s="32">
        <v>0</v>
      </c>
      <c r="V699" s="32">
        <v>0</v>
      </c>
      <c r="W699" s="32">
        <v>0</v>
      </c>
      <c r="X699" s="32">
        <v>0</v>
      </c>
      <c r="Y699" s="32">
        <v>0</v>
      </c>
      <c r="Z699" s="32">
        <v>0</v>
      </c>
      <c r="AA699" s="32">
        <v>0</v>
      </c>
      <c r="AB699" s="32">
        <v>0</v>
      </c>
      <c r="AC699" s="32">
        <f t="shared" si="284"/>
        <v>0</v>
      </c>
      <c r="AD699" s="32">
        <v>70000</v>
      </c>
      <c r="AE699" s="32">
        <v>0</v>
      </c>
      <c r="AF699" s="35">
        <v>2021</v>
      </c>
      <c r="AG699" s="35" t="s">
        <v>275</v>
      </c>
      <c r="AH699" s="36" t="s">
        <v>275</v>
      </c>
    </row>
    <row r="700" spans="1:46" ht="61.5" x14ac:dyDescent="0.85">
      <c r="A700" s="21">
        <v>1</v>
      </c>
      <c r="B700" s="70">
        <f>SUBTOTAL(103,$A$535:A700)</f>
        <v>164</v>
      </c>
      <c r="C700" s="25" t="s">
        <v>212</v>
      </c>
      <c r="D700" s="32">
        <f t="shared" si="279"/>
        <v>70000</v>
      </c>
      <c r="E700" s="32">
        <v>0</v>
      </c>
      <c r="F700" s="32">
        <v>0</v>
      </c>
      <c r="G700" s="32">
        <v>0</v>
      </c>
      <c r="H700" s="32">
        <v>0</v>
      </c>
      <c r="I700" s="32">
        <v>0</v>
      </c>
      <c r="J700" s="32">
        <v>0</v>
      </c>
      <c r="K700" s="34">
        <v>0</v>
      </c>
      <c r="L700" s="32">
        <v>0</v>
      </c>
      <c r="M700" s="32">
        <v>0</v>
      </c>
      <c r="N700" s="32">
        <v>0</v>
      </c>
      <c r="O700" s="32">
        <v>0</v>
      </c>
      <c r="P700" s="32">
        <v>0</v>
      </c>
      <c r="Q700" s="32">
        <v>0</v>
      </c>
      <c r="R700" s="32">
        <v>0</v>
      </c>
      <c r="S700" s="32">
        <v>0</v>
      </c>
      <c r="T700" s="32">
        <v>0</v>
      </c>
      <c r="U700" s="32">
        <v>0</v>
      </c>
      <c r="V700" s="32">
        <v>0</v>
      </c>
      <c r="W700" s="32">
        <v>0</v>
      </c>
      <c r="X700" s="32">
        <v>0</v>
      </c>
      <c r="Y700" s="32">
        <v>0</v>
      </c>
      <c r="Z700" s="32">
        <v>0</v>
      </c>
      <c r="AA700" s="32">
        <v>0</v>
      </c>
      <c r="AB700" s="32">
        <v>0</v>
      </c>
      <c r="AC700" s="32">
        <f t="shared" si="284"/>
        <v>0</v>
      </c>
      <c r="AD700" s="32">
        <v>70000</v>
      </c>
      <c r="AE700" s="32">
        <v>0</v>
      </c>
      <c r="AF700" s="35">
        <v>2021</v>
      </c>
      <c r="AG700" s="35" t="s">
        <v>275</v>
      </c>
      <c r="AH700" s="36" t="s">
        <v>275</v>
      </c>
    </row>
    <row r="701" spans="1:46" ht="61.5" x14ac:dyDescent="0.85">
      <c r="A701" s="21">
        <v>1</v>
      </c>
      <c r="B701" s="70">
        <f>SUBTOTAL(103,$A$535:A701)</f>
        <v>165</v>
      </c>
      <c r="C701" s="25" t="s">
        <v>213</v>
      </c>
      <c r="D701" s="32">
        <f t="shared" si="279"/>
        <v>70000</v>
      </c>
      <c r="E701" s="32">
        <v>0</v>
      </c>
      <c r="F701" s="32">
        <v>0</v>
      </c>
      <c r="G701" s="32">
        <v>0</v>
      </c>
      <c r="H701" s="32">
        <v>0</v>
      </c>
      <c r="I701" s="32">
        <v>0</v>
      </c>
      <c r="J701" s="32">
        <v>0</v>
      </c>
      <c r="K701" s="34">
        <v>0</v>
      </c>
      <c r="L701" s="32">
        <v>0</v>
      </c>
      <c r="M701" s="32">
        <v>0</v>
      </c>
      <c r="N701" s="32">
        <v>0</v>
      </c>
      <c r="O701" s="32">
        <v>0</v>
      </c>
      <c r="P701" s="32">
        <v>0</v>
      </c>
      <c r="Q701" s="32">
        <v>0</v>
      </c>
      <c r="R701" s="32">
        <v>0</v>
      </c>
      <c r="S701" s="32">
        <v>0</v>
      </c>
      <c r="T701" s="32">
        <v>0</v>
      </c>
      <c r="U701" s="32">
        <v>0</v>
      </c>
      <c r="V701" s="32">
        <v>0</v>
      </c>
      <c r="W701" s="32">
        <v>0</v>
      </c>
      <c r="X701" s="32">
        <v>0</v>
      </c>
      <c r="Y701" s="32">
        <v>0</v>
      </c>
      <c r="Z701" s="32">
        <v>0</v>
      </c>
      <c r="AA701" s="32">
        <v>0</v>
      </c>
      <c r="AB701" s="32">
        <v>0</v>
      </c>
      <c r="AC701" s="32">
        <f t="shared" si="284"/>
        <v>0</v>
      </c>
      <c r="AD701" s="32">
        <v>70000</v>
      </c>
      <c r="AE701" s="32">
        <v>0</v>
      </c>
      <c r="AF701" s="35">
        <v>2021</v>
      </c>
      <c r="AG701" s="35" t="s">
        <v>275</v>
      </c>
      <c r="AH701" s="36" t="s">
        <v>275</v>
      </c>
    </row>
    <row r="702" spans="1:46" ht="61.5" x14ac:dyDescent="0.85">
      <c r="A702" s="21">
        <v>1</v>
      </c>
      <c r="B702" s="70">
        <f>SUBTOTAL(103,$A$535:A702)</f>
        <v>166</v>
      </c>
      <c r="C702" s="25" t="s">
        <v>450</v>
      </c>
      <c r="D702" s="32">
        <f t="shared" si="279"/>
        <v>180000</v>
      </c>
      <c r="E702" s="32">
        <v>0</v>
      </c>
      <c r="F702" s="32">
        <v>0</v>
      </c>
      <c r="G702" s="32">
        <v>0</v>
      </c>
      <c r="H702" s="32">
        <v>0</v>
      </c>
      <c r="I702" s="32">
        <v>0</v>
      </c>
      <c r="J702" s="32">
        <v>0</v>
      </c>
      <c r="K702" s="34">
        <v>0</v>
      </c>
      <c r="L702" s="32">
        <v>0</v>
      </c>
      <c r="M702" s="32">
        <v>0</v>
      </c>
      <c r="N702" s="32">
        <v>0</v>
      </c>
      <c r="O702" s="32">
        <v>0</v>
      </c>
      <c r="P702" s="32">
        <v>0</v>
      </c>
      <c r="Q702" s="32">
        <v>0</v>
      </c>
      <c r="R702" s="32">
        <v>0</v>
      </c>
      <c r="S702" s="32">
        <v>0</v>
      </c>
      <c r="T702" s="32">
        <v>0</v>
      </c>
      <c r="U702" s="32">
        <v>0</v>
      </c>
      <c r="V702" s="32">
        <v>0</v>
      </c>
      <c r="W702" s="32">
        <v>0</v>
      </c>
      <c r="X702" s="32">
        <v>0</v>
      </c>
      <c r="Y702" s="32">
        <v>0</v>
      </c>
      <c r="Z702" s="32">
        <v>0</v>
      </c>
      <c r="AA702" s="32">
        <v>0</v>
      </c>
      <c r="AB702" s="32">
        <v>0</v>
      </c>
      <c r="AC702" s="32">
        <f t="shared" si="284"/>
        <v>0</v>
      </c>
      <c r="AD702" s="32">
        <v>180000</v>
      </c>
      <c r="AE702" s="32">
        <v>0</v>
      </c>
      <c r="AF702" s="35">
        <v>2021</v>
      </c>
      <c r="AG702" s="35" t="s">
        <v>275</v>
      </c>
      <c r="AH702" s="36" t="s">
        <v>275</v>
      </c>
    </row>
    <row r="703" spans="1:46" ht="61.5" x14ac:dyDescent="0.85">
      <c r="A703" s="21">
        <v>1</v>
      </c>
      <c r="B703" s="70">
        <f>SUBTOTAL(103,$A$535:A703)</f>
        <v>167</v>
      </c>
      <c r="C703" s="25" t="s">
        <v>451</v>
      </c>
      <c r="D703" s="32">
        <f t="shared" si="279"/>
        <v>100000</v>
      </c>
      <c r="E703" s="32">
        <v>0</v>
      </c>
      <c r="F703" s="32">
        <v>0</v>
      </c>
      <c r="G703" s="32">
        <v>0</v>
      </c>
      <c r="H703" s="32">
        <v>0</v>
      </c>
      <c r="I703" s="32">
        <v>0</v>
      </c>
      <c r="J703" s="32">
        <v>0</v>
      </c>
      <c r="K703" s="34">
        <v>0</v>
      </c>
      <c r="L703" s="32">
        <v>0</v>
      </c>
      <c r="M703" s="32">
        <v>0</v>
      </c>
      <c r="N703" s="32">
        <v>0</v>
      </c>
      <c r="O703" s="32">
        <v>0</v>
      </c>
      <c r="P703" s="32">
        <v>0</v>
      </c>
      <c r="Q703" s="32">
        <v>0</v>
      </c>
      <c r="R703" s="32">
        <v>0</v>
      </c>
      <c r="S703" s="32">
        <v>0</v>
      </c>
      <c r="T703" s="32">
        <v>0</v>
      </c>
      <c r="U703" s="32">
        <v>0</v>
      </c>
      <c r="V703" s="32">
        <v>0</v>
      </c>
      <c r="W703" s="32">
        <v>0</v>
      </c>
      <c r="X703" s="32">
        <v>0</v>
      </c>
      <c r="Y703" s="32">
        <v>0</v>
      </c>
      <c r="Z703" s="32">
        <v>0</v>
      </c>
      <c r="AA703" s="32">
        <v>0</v>
      </c>
      <c r="AB703" s="32">
        <v>0</v>
      </c>
      <c r="AC703" s="32">
        <f t="shared" si="284"/>
        <v>0</v>
      </c>
      <c r="AD703" s="32">
        <v>100000</v>
      </c>
      <c r="AE703" s="32">
        <v>0</v>
      </c>
      <c r="AF703" s="35">
        <v>2021</v>
      </c>
      <c r="AG703" s="35" t="s">
        <v>275</v>
      </c>
      <c r="AH703" s="36" t="s">
        <v>275</v>
      </c>
    </row>
    <row r="704" spans="1:46" ht="61.5" x14ac:dyDescent="0.85">
      <c r="A704" s="21">
        <v>1</v>
      </c>
      <c r="B704" s="70">
        <f>SUBTOTAL(103,$A$535:A704)</f>
        <v>168</v>
      </c>
      <c r="C704" s="25" t="s">
        <v>452</v>
      </c>
      <c r="D704" s="32">
        <f t="shared" si="279"/>
        <v>150000</v>
      </c>
      <c r="E704" s="32">
        <v>0</v>
      </c>
      <c r="F704" s="32">
        <v>0</v>
      </c>
      <c r="G704" s="32">
        <v>0</v>
      </c>
      <c r="H704" s="32">
        <v>0</v>
      </c>
      <c r="I704" s="32">
        <v>0</v>
      </c>
      <c r="J704" s="32">
        <v>0</v>
      </c>
      <c r="K704" s="34">
        <v>0</v>
      </c>
      <c r="L704" s="32">
        <v>0</v>
      </c>
      <c r="M704" s="32">
        <v>0</v>
      </c>
      <c r="N704" s="32">
        <v>0</v>
      </c>
      <c r="O704" s="32">
        <v>0</v>
      </c>
      <c r="P704" s="32">
        <v>0</v>
      </c>
      <c r="Q704" s="32">
        <v>0</v>
      </c>
      <c r="R704" s="32">
        <v>0</v>
      </c>
      <c r="S704" s="32">
        <v>0</v>
      </c>
      <c r="T704" s="32">
        <v>0</v>
      </c>
      <c r="U704" s="32">
        <v>0</v>
      </c>
      <c r="V704" s="32">
        <v>0</v>
      </c>
      <c r="W704" s="32">
        <v>0</v>
      </c>
      <c r="X704" s="32">
        <v>0</v>
      </c>
      <c r="Y704" s="32">
        <v>0</v>
      </c>
      <c r="Z704" s="32">
        <v>0</v>
      </c>
      <c r="AA704" s="32">
        <v>0</v>
      </c>
      <c r="AB704" s="32">
        <v>0</v>
      </c>
      <c r="AC704" s="32">
        <f t="shared" si="284"/>
        <v>0</v>
      </c>
      <c r="AD704" s="32">
        <v>150000</v>
      </c>
      <c r="AE704" s="32">
        <v>0</v>
      </c>
      <c r="AF704" s="35">
        <v>2021</v>
      </c>
      <c r="AG704" s="35" t="s">
        <v>275</v>
      </c>
      <c r="AH704" s="36" t="s">
        <v>275</v>
      </c>
    </row>
    <row r="705" spans="1:46" ht="61.5" x14ac:dyDescent="0.85">
      <c r="A705" s="21">
        <v>1</v>
      </c>
      <c r="B705" s="70">
        <f>SUBTOTAL(103,$A$535:A705)</f>
        <v>169</v>
      </c>
      <c r="C705" s="25" t="s">
        <v>453</v>
      </c>
      <c r="D705" s="32">
        <f t="shared" si="279"/>
        <v>150000</v>
      </c>
      <c r="E705" s="32">
        <v>0</v>
      </c>
      <c r="F705" s="32">
        <v>0</v>
      </c>
      <c r="G705" s="32">
        <v>0</v>
      </c>
      <c r="H705" s="32">
        <v>0</v>
      </c>
      <c r="I705" s="32">
        <v>0</v>
      </c>
      <c r="J705" s="32">
        <v>0</v>
      </c>
      <c r="K705" s="34">
        <v>0</v>
      </c>
      <c r="L705" s="32">
        <v>0</v>
      </c>
      <c r="M705" s="32">
        <v>0</v>
      </c>
      <c r="N705" s="32">
        <v>0</v>
      </c>
      <c r="O705" s="32">
        <v>0</v>
      </c>
      <c r="P705" s="32">
        <v>0</v>
      </c>
      <c r="Q705" s="32">
        <v>0</v>
      </c>
      <c r="R705" s="32">
        <v>0</v>
      </c>
      <c r="S705" s="32">
        <v>0</v>
      </c>
      <c r="T705" s="32">
        <v>0</v>
      </c>
      <c r="U705" s="32">
        <v>0</v>
      </c>
      <c r="V705" s="32">
        <v>0</v>
      </c>
      <c r="W705" s="32">
        <v>0</v>
      </c>
      <c r="X705" s="32">
        <v>0</v>
      </c>
      <c r="Y705" s="32">
        <v>0</v>
      </c>
      <c r="Z705" s="32">
        <v>0</v>
      </c>
      <c r="AA705" s="32">
        <v>0</v>
      </c>
      <c r="AB705" s="32">
        <v>0</v>
      </c>
      <c r="AC705" s="32">
        <f t="shared" si="284"/>
        <v>0</v>
      </c>
      <c r="AD705" s="32">
        <v>150000</v>
      </c>
      <c r="AE705" s="32">
        <v>0</v>
      </c>
      <c r="AF705" s="35">
        <v>2021</v>
      </c>
      <c r="AG705" s="35" t="s">
        <v>275</v>
      </c>
      <c r="AH705" s="36" t="s">
        <v>275</v>
      </c>
    </row>
    <row r="706" spans="1:46" ht="61.5" x14ac:dyDescent="0.85">
      <c r="A706" s="21">
        <v>1</v>
      </c>
      <c r="B706" s="70">
        <f>SUBTOTAL(103,$A$535:A706)</f>
        <v>170</v>
      </c>
      <c r="C706" s="25" t="s">
        <v>454</v>
      </c>
      <c r="D706" s="32">
        <f t="shared" si="279"/>
        <v>120000</v>
      </c>
      <c r="E706" s="32">
        <v>0</v>
      </c>
      <c r="F706" s="32">
        <v>0</v>
      </c>
      <c r="G706" s="32">
        <v>0</v>
      </c>
      <c r="H706" s="32">
        <v>0</v>
      </c>
      <c r="I706" s="32">
        <v>0</v>
      </c>
      <c r="J706" s="32">
        <v>0</v>
      </c>
      <c r="K706" s="34">
        <v>0</v>
      </c>
      <c r="L706" s="32">
        <v>0</v>
      </c>
      <c r="M706" s="32">
        <v>0</v>
      </c>
      <c r="N706" s="32">
        <v>0</v>
      </c>
      <c r="O706" s="32">
        <v>0</v>
      </c>
      <c r="P706" s="32">
        <v>0</v>
      </c>
      <c r="Q706" s="32">
        <v>0</v>
      </c>
      <c r="R706" s="32">
        <v>0</v>
      </c>
      <c r="S706" s="32">
        <v>0</v>
      </c>
      <c r="T706" s="32">
        <v>0</v>
      </c>
      <c r="U706" s="32">
        <v>0</v>
      </c>
      <c r="V706" s="32">
        <v>0</v>
      </c>
      <c r="W706" s="32">
        <v>0</v>
      </c>
      <c r="X706" s="32">
        <v>0</v>
      </c>
      <c r="Y706" s="32">
        <v>0</v>
      </c>
      <c r="Z706" s="32">
        <v>0</v>
      </c>
      <c r="AA706" s="32">
        <v>0</v>
      </c>
      <c r="AB706" s="32">
        <v>0</v>
      </c>
      <c r="AC706" s="32">
        <f t="shared" si="284"/>
        <v>0</v>
      </c>
      <c r="AD706" s="32">
        <v>120000</v>
      </c>
      <c r="AE706" s="32">
        <v>0</v>
      </c>
      <c r="AF706" s="35">
        <v>2021</v>
      </c>
      <c r="AG706" s="35" t="s">
        <v>275</v>
      </c>
      <c r="AH706" s="36" t="s">
        <v>275</v>
      </c>
    </row>
    <row r="707" spans="1:46" ht="61.5" x14ac:dyDescent="0.85">
      <c r="A707" s="21">
        <v>1</v>
      </c>
      <c r="B707" s="70">
        <f>SUBTOTAL(103,$A$535:A707)</f>
        <v>171</v>
      </c>
      <c r="C707" s="25" t="s">
        <v>455</v>
      </c>
      <c r="D707" s="32">
        <f t="shared" si="279"/>
        <v>180000</v>
      </c>
      <c r="E707" s="32">
        <v>0</v>
      </c>
      <c r="F707" s="32">
        <v>0</v>
      </c>
      <c r="G707" s="32">
        <v>0</v>
      </c>
      <c r="H707" s="32">
        <v>0</v>
      </c>
      <c r="I707" s="32">
        <v>0</v>
      </c>
      <c r="J707" s="32">
        <v>0</v>
      </c>
      <c r="K707" s="34">
        <v>0</v>
      </c>
      <c r="L707" s="32">
        <v>0</v>
      </c>
      <c r="M707" s="32">
        <v>0</v>
      </c>
      <c r="N707" s="32">
        <v>0</v>
      </c>
      <c r="O707" s="32">
        <v>0</v>
      </c>
      <c r="P707" s="32">
        <v>0</v>
      </c>
      <c r="Q707" s="32">
        <v>0</v>
      </c>
      <c r="R707" s="32">
        <v>0</v>
      </c>
      <c r="S707" s="32">
        <v>0</v>
      </c>
      <c r="T707" s="32">
        <v>0</v>
      </c>
      <c r="U707" s="32">
        <v>0</v>
      </c>
      <c r="V707" s="32">
        <v>0</v>
      </c>
      <c r="W707" s="32">
        <v>0</v>
      </c>
      <c r="X707" s="32">
        <v>0</v>
      </c>
      <c r="Y707" s="32">
        <v>0</v>
      </c>
      <c r="Z707" s="32">
        <v>0</v>
      </c>
      <c r="AA707" s="32">
        <v>0</v>
      </c>
      <c r="AB707" s="32">
        <v>0</v>
      </c>
      <c r="AC707" s="32">
        <f t="shared" si="284"/>
        <v>0</v>
      </c>
      <c r="AD707" s="32">
        <v>180000</v>
      </c>
      <c r="AE707" s="32">
        <v>0</v>
      </c>
      <c r="AF707" s="35">
        <v>2021</v>
      </c>
      <c r="AG707" s="35" t="s">
        <v>275</v>
      </c>
      <c r="AH707" s="36" t="s">
        <v>275</v>
      </c>
    </row>
    <row r="708" spans="1:46" ht="61.5" x14ac:dyDescent="0.85">
      <c r="A708" s="21">
        <v>1</v>
      </c>
      <c r="B708" s="70">
        <f>SUBTOTAL(103,$A$535:A708)</f>
        <v>172</v>
      </c>
      <c r="C708" s="25" t="s">
        <v>456</v>
      </c>
      <c r="D708" s="32">
        <f t="shared" si="279"/>
        <v>150000</v>
      </c>
      <c r="E708" s="32">
        <v>0</v>
      </c>
      <c r="F708" s="32">
        <v>0</v>
      </c>
      <c r="G708" s="32">
        <v>0</v>
      </c>
      <c r="H708" s="32">
        <v>0</v>
      </c>
      <c r="I708" s="32">
        <v>0</v>
      </c>
      <c r="J708" s="32">
        <v>0</v>
      </c>
      <c r="K708" s="34">
        <v>0</v>
      </c>
      <c r="L708" s="32">
        <v>0</v>
      </c>
      <c r="M708" s="32">
        <v>0</v>
      </c>
      <c r="N708" s="32">
        <v>0</v>
      </c>
      <c r="O708" s="32">
        <v>0</v>
      </c>
      <c r="P708" s="32">
        <v>0</v>
      </c>
      <c r="Q708" s="32">
        <v>0</v>
      </c>
      <c r="R708" s="32">
        <v>0</v>
      </c>
      <c r="S708" s="32">
        <v>0</v>
      </c>
      <c r="T708" s="32">
        <v>0</v>
      </c>
      <c r="U708" s="32">
        <v>0</v>
      </c>
      <c r="V708" s="32">
        <v>0</v>
      </c>
      <c r="W708" s="32">
        <v>0</v>
      </c>
      <c r="X708" s="32">
        <v>0</v>
      </c>
      <c r="Y708" s="32">
        <v>0</v>
      </c>
      <c r="Z708" s="32">
        <v>0</v>
      </c>
      <c r="AA708" s="32">
        <v>0</v>
      </c>
      <c r="AB708" s="32">
        <v>0</v>
      </c>
      <c r="AC708" s="32">
        <f t="shared" si="284"/>
        <v>0</v>
      </c>
      <c r="AD708" s="32">
        <v>150000</v>
      </c>
      <c r="AE708" s="32">
        <v>0</v>
      </c>
      <c r="AF708" s="35">
        <v>2021</v>
      </c>
      <c r="AG708" s="35" t="s">
        <v>275</v>
      </c>
      <c r="AH708" s="36" t="s">
        <v>275</v>
      </c>
    </row>
    <row r="709" spans="1:46" ht="61.5" x14ac:dyDescent="0.85">
      <c r="A709" s="21">
        <v>1</v>
      </c>
      <c r="B709" s="70">
        <f>SUBTOTAL(103,$A$535:A709)</f>
        <v>173</v>
      </c>
      <c r="C709" s="25" t="s">
        <v>457</v>
      </c>
      <c r="D709" s="32">
        <f t="shared" si="279"/>
        <v>120000</v>
      </c>
      <c r="E709" s="32">
        <v>0</v>
      </c>
      <c r="F709" s="32">
        <v>0</v>
      </c>
      <c r="G709" s="32">
        <v>0</v>
      </c>
      <c r="H709" s="32">
        <v>0</v>
      </c>
      <c r="I709" s="32">
        <v>0</v>
      </c>
      <c r="J709" s="32">
        <v>0</v>
      </c>
      <c r="K709" s="34">
        <v>0</v>
      </c>
      <c r="L709" s="32">
        <v>0</v>
      </c>
      <c r="M709" s="32">
        <v>0</v>
      </c>
      <c r="N709" s="32">
        <v>0</v>
      </c>
      <c r="O709" s="32">
        <v>0</v>
      </c>
      <c r="P709" s="32">
        <v>0</v>
      </c>
      <c r="Q709" s="32">
        <v>0</v>
      </c>
      <c r="R709" s="32">
        <v>0</v>
      </c>
      <c r="S709" s="32">
        <v>0</v>
      </c>
      <c r="T709" s="32">
        <v>0</v>
      </c>
      <c r="U709" s="32">
        <v>0</v>
      </c>
      <c r="V709" s="32">
        <v>0</v>
      </c>
      <c r="W709" s="32">
        <v>0</v>
      </c>
      <c r="X709" s="32">
        <v>0</v>
      </c>
      <c r="Y709" s="32">
        <v>0</v>
      </c>
      <c r="Z709" s="32">
        <v>0</v>
      </c>
      <c r="AA709" s="32">
        <v>0</v>
      </c>
      <c r="AB709" s="32">
        <v>0</v>
      </c>
      <c r="AC709" s="32">
        <f t="shared" si="284"/>
        <v>0</v>
      </c>
      <c r="AD709" s="32">
        <v>120000</v>
      </c>
      <c r="AE709" s="32">
        <v>0</v>
      </c>
      <c r="AF709" s="35">
        <v>2021</v>
      </c>
      <c r="AG709" s="35" t="s">
        <v>275</v>
      </c>
      <c r="AH709" s="36" t="s">
        <v>275</v>
      </c>
    </row>
    <row r="710" spans="1:46" ht="61.5" x14ac:dyDescent="0.85">
      <c r="A710" s="21">
        <v>1</v>
      </c>
      <c r="B710" s="70">
        <f>SUBTOTAL(103,$A$535:A710)</f>
        <v>174</v>
      </c>
      <c r="C710" s="25" t="s">
        <v>215</v>
      </c>
      <c r="D710" s="32">
        <f t="shared" si="279"/>
        <v>150000</v>
      </c>
      <c r="E710" s="32">
        <v>0</v>
      </c>
      <c r="F710" s="32">
        <v>0</v>
      </c>
      <c r="G710" s="32">
        <v>0</v>
      </c>
      <c r="H710" s="32">
        <v>0</v>
      </c>
      <c r="I710" s="32">
        <v>0</v>
      </c>
      <c r="J710" s="32">
        <v>0</v>
      </c>
      <c r="K710" s="34">
        <v>0</v>
      </c>
      <c r="L710" s="32">
        <v>0</v>
      </c>
      <c r="M710" s="32">
        <v>0</v>
      </c>
      <c r="N710" s="32">
        <v>0</v>
      </c>
      <c r="O710" s="32">
        <v>0</v>
      </c>
      <c r="P710" s="32">
        <v>0</v>
      </c>
      <c r="Q710" s="32">
        <v>0</v>
      </c>
      <c r="R710" s="32">
        <v>0</v>
      </c>
      <c r="S710" s="32">
        <v>0</v>
      </c>
      <c r="T710" s="32">
        <v>0</v>
      </c>
      <c r="U710" s="32">
        <v>0</v>
      </c>
      <c r="V710" s="32">
        <v>0</v>
      </c>
      <c r="W710" s="32">
        <v>0</v>
      </c>
      <c r="X710" s="32">
        <v>0</v>
      </c>
      <c r="Y710" s="32">
        <v>0</v>
      </c>
      <c r="Z710" s="32">
        <v>0</v>
      </c>
      <c r="AA710" s="32">
        <v>0</v>
      </c>
      <c r="AB710" s="32">
        <v>0</v>
      </c>
      <c r="AC710" s="32">
        <f t="shared" si="284"/>
        <v>0</v>
      </c>
      <c r="AD710" s="32">
        <v>150000</v>
      </c>
      <c r="AE710" s="32">
        <v>0</v>
      </c>
      <c r="AF710" s="35">
        <v>2021</v>
      </c>
      <c r="AG710" s="35" t="s">
        <v>275</v>
      </c>
      <c r="AH710" s="36" t="s">
        <v>275</v>
      </c>
    </row>
    <row r="711" spans="1:46" ht="61.5" x14ac:dyDescent="0.85">
      <c r="A711" s="21">
        <v>1</v>
      </c>
      <c r="B711" s="70">
        <f>SUBTOTAL(103,$A$535:A711)</f>
        <v>175</v>
      </c>
      <c r="C711" s="25" t="s">
        <v>214</v>
      </c>
      <c r="D711" s="32">
        <f t="shared" si="279"/>
        <v>150000</v>
      </c>
      <c r="E711" s="32">
        <v>0</v>
      </c>
      <c r="F711" s="32">
        <v>0</v>
      </c>
      <c r="G711" s="32">
        <v>0</v>
      </c>
      <c r="H711" s="32">
        <v>0</v>
      </c>
      <c r="I711" s="32">
        <v>0</v>
      </c>
      <c r="J711" s="32">
        <v>0</v>
      </c>
      <c r="K711" s="34">
        <v>0</v>
      </c>
      <c r="L711" s="32">
        <v>0</v>
      </c>
      <c r="M711" s="32">
        <v>0</v>
      </c>
      <c r="N711" s="32">
        <v>0</v>
      </c>
      <c r="O711" s="32">
        <v>0</v>
      </c>
      <c r="P711" s="32">
        <v>0</v>
      </c>
      <c r="Q711" s="32">
        <v>0</v>
      </c>
      <c r="R711" s="32">
        <v>0</v>
      </c>
      <c r="S711" s="32">
        <v>0</v>
      </c>
      <c r="T711" s="32">
        <v>0</v>
      </c>
      <c r="U711" s="32">
        <v>0</v>
      </c>
      <c r="V711" s="32">
        <v>0</v>
      </c>
      <c r="W711" s="32">
        <v>0</v>
      </c>
      <c r="X711" s="32">
        <v>0</v>
      </c>
      <c r="Y711" s="32">
        <v>0</v>
      </c>
      <c r="Z711" s="32">
        <v>0</v>
      </c>
      <c r="AA711" s="32">
        <v>0</v>
      </c>
      <c r="AB711" s="32">
        <v>0</v>
      </c>
      <c r="AC711" s="32">
        <f t="shared" si="284"/>
        <v>0</v>
      </c>
      <c r="AD711" s="32">
        <v>150000</v>
      </c>
      <c r="AE711" s="32">
        <v>0</v>
      </c>
      <c r="AF711" s="35">
        <v>2021</v>
      </c>
      <c r="AG711" s="35" t="s">
        <v>275</v>
      </c>
      <c r="AH711" s="36" t="s">
        <v>275</v>
      </c>
    </row>
    <row r="712" spans="1:46" ht="61.5" x14ac:dyDescent="0.85">
      <c r="A712" s="21">
        <v>1</v>
      </c>
      <c r="B712" s="70">
        <f>SUBTOTAL(103,$A$535:A712)</f>
        <v>176</v>
      </c>
      <c r="C712" s="25" t="s">
        <v>458</v>
      </c>
      <c r="D712" s="32">
        <f t="shared" si="279"/>
        <v>100000</v>
      </c>
      <c r="E712" s="32">
        <v>0</v>
      </c>
      <c r="F712" s="32">
        <v>0</v>
      </c>
      <c r="G712" s="32">
        <v>0</v>
      </c>
      <c r="H712" s="32">
        <v>0</v>
      </c>
      <c r="I712" s="32">
        <v>0</v>
      </c>
      <c r="J712" s="32">
        <v>0</v>
      </c>
      <c r="K712" s="34">
        <v>0</v>
      </c>
      <c r="L712" s="32">
        <v>0</v>
      </c>
      <c r="M712" s="32">
        <v>0</v>
      </c>
      <c r="N712" s="32">
        <v>0</v>
      </c>
      <c r="O712" s="32">
        <v>0</v>
      </c>
      <c r="P712" s="32">
        <v>0</v>
      </c>
      <c r="Q712" s="32">
        <v>0</v>
      </c>
      <c r="R712" s="32">
        <v>0</v>
      </c>
      <c r="S712" s="32">
        <v>0</v>
      </c>
      <c r="T712" s="32">
        <v>0</v>
      </c>
      <c r="U712" s="32">
        <v>0</v>
      </c>
      <c r="V712" s="32">
        <v>0</v>
      </c>
      <c r="W712" s="32">
        <v>0</v>
      </c>
      <c r="X712" s="32">
        <v>0</v>
      </c>
      <c r="Y712" s="32">
        <v>0</v>
      </c>
      <c r="Z712" s="32">
        <v>0</v>
      </c>
      <c r="AA712" s="32">
        <v>0</v>
      </c>
      <c r="AB712" s="32">
        <v>0</v>
      </c>
      <c r="AC712" s="32">
        <f t="shared" si="284"/>
        <v>0</v>
      </c>
      <c r="AD712" s="32">
        <v>100000</v>
      </c>
      <c r="AE712" s="32">
        <v>0</v>
      </c>
      <c r="AF712" s="35">
        <v>2021</v>
      </c>
      <c r="AG712" s="35" t="s">
        <v>275</v>
      </c>
      <c r="AH712" s="36" t="s">
        <v>275</v>
      </c>
    </row>
    <row r="713" spans="1:46" ht="61.5" x14ac:dyDescent="0.85">
      <c r="A713" s="21">
        <v>1</v>
      </c>
      <c r="B713" s="70">
        <f>SUBTOTAL(103,$A$535:A713)</f>
        <v>177</v>
      </c>
      <c r="C713" s="25" t="s">
        <v>459</v>
      </c>
      <c r="D713" s="32">
        <f t="shared" si="279"/>
        <v>120000</v>
      </c>
      <c r="E713" s="32">
        <v>0</v>
      </c>
      <c r="F713" s="32">
        <v>0</v>
      </c>
      <c r="G713" s="32">
        <v>0</v>
      </c>
      <c r="H713" s="32">
        <v>0</v>
      </c>
      <c r="I713" s="32">
        <v>0</v>
      </c>
      <c r="J713" s="32">
        <v>0</v>
      </c>
      <c r="K713" s="34">
        <v>0</v>
      </c>
      <c r="L713" s="32">
        <v>0</v>
      </c>
      <c r="M713" s="32">
        <v>0</v>
      </c>
      <c r="N713" s="32">
        <v>0</v>
      </c>
      <c r="O713" s="32">
        <v>0</v>
      </c>
      <c r="P713" s="32">
        <v>0</v>
      </c>
      <c r="Q713" s="32">
        <v>0</v>
      </c>
      <c r="R713" s="32">
        <v>0</v>
      </c>
      <c r="S713" s="32">
        <v>0</v>
      </c>
      <c r="T713" s="32">
        <v>0</v>
      </c>
      <c r="U713" s="32">
        <v>0</v>
      </c>
      <c r="V713" s="32">
        <v>0</v>
      </c>
      <c r="W713" s="32">
        <v>0</v>
      </c>
      <c r="X713" s="32">
        <v>0</v>
      </c>
      <c r="Y713" s="32">
        <v>0</v>
      </c>
      <c r="Z713" s="32">
        <v>0</v>
      </c>
      <c r="AA713" s="32">
        <v>0</v>
      </c>
      <c r="AB713" s="32">
        <v>0</v>
      </c>
      <c r="AC713" s="32">
        <f t="shared" si="284"/>
        <v>0</v>
      </c>
      <c r="AD713" s="32">
        <v>120000</v>
      </c>
      <c r="AE713" s="32">
        <v>0</v>
      </c>
      <c r="AF713" s="35">
        <v>2021</v>
      </c>
      <c r="AG713" s="35" t="s">
        <v>275</v>
      </c>
      <c r="AH713" s="36" t="s">
        <v>275</v>
      </c>
    </row>
    <row r="714" spans="1:46" ht="61.5" x14ac:dyDescent="0.85">
      <c r="A714" s="21">
        <v>1</v>
      </c>
      <c r="B714" s="70">
        <f>SUBTOTAL(103,$A$535:A714)</f>
        <v>178</v>
      </c>
      <c r="C714" s="25" t="s">
        <v>460</v>
      </c>
      <c r="D714" s="32">
        <f t="shared" si="279"/>
        <v>150000</v>
      </c>
      <c r="E714" s="32">
        <v>0</v>
      </c>
      <c r="F714" s="32">
        <v>0</v>
      </c>
      <c r="G714" s="32">
        <v>0</v>
      </c>
      <c r="H714" s="32">
        <v>0</v>
      </c>
      <c r="I714" s="32">
        <v>0</v>
      </c>
      <c r="J714" s="32">
        <v>0</v>
      </c>
      <c r="K714" s="34">
        <v>0</v>
      </c>
      <c r="L714" s="32">
        <v>0</v>
      </c>
      <c r="M714" s="32">
        <v>0</v>
      </c>
      <c r="N714" s="32">
        <v>0</v>
      </c>
      <c r="O714" s="32">
        <v>0</v>
      </c>
      <c r="P714" s="32">
        <v>0</v>
      </c>
      <c r="Q714" s="32">
        <v>0</v>
      </c>
      <c r="R714" s="32">
        <v>0</v>
      </c>
      <c r="S714" s="32">
        <v>0</v>
      </c>
      <c r="T714" s="32">
        <v>0</v>
      </c>
      <c r="U714" s="32">
        <v>0</v>
      </c>
      <c r="V714" s="32">
        <v>0</v>
      </c>
      <c r="W714" s="32">
        <v>0</v>
      </c>
      <c r="X714" s="32">
        <v>0</v>
      </c>
      <c r="Y714" s="32">
        <v>0</v>
      </c>
      <c r="Z714" s="32">
        <v>0</v>
      </c>
      <c r="AA714" s="32">
        <v>0</v>
      </c>
      <c r="AB714" s="32">
        <v>0</v>
      </c>
      <c r="AC714" s="32">
        <f t="shared" si="284"/>
        <v>0</v>
      </c>
      <c r="AD714" s="32">
        <v>150000</v>
      </c>
      <c r="AE714" s="32">
        <v>0</v>
      </c>
      <c r="AF714" s="35">
        <v>2021</v>
      </c>
      <c r="AG714" s="35" t="s">
        <v>275</v>
      </c>
      <c r="AH714" s="36" t="s">
        <v>275</v>
      </c>
    </row>
    <row r="715" spans="1:46" ht="61.5" x14ac:dyDescent="0.85">
      <c r="A715" s="21">
        <v>1</v>
      </c>
      <c r="B715" s="70">
        <f>SUBTOTAL(103,$A$535:A715)</f>
        <v>179</v>
      </c>
      <c r="C715" s="25" t="s">
        <v>461</v>
      </c>
      <c r="D715" s="32">
        <f t="shared" si="279"/>
        <v>120000</v>
      </c>
      <c r="E715" s="32">
        <v>0</v>
      </c>
      <c r="F715" s="32">
        <v>0</v>
      </c>
      <c r="G715" s="32">
        <v>0</v>
      </c>
      <c r="H715" s="32">
        <v>0</v>
      </c>
      <c r="I715" s="32">
        <v>0</v>
      </c>
      <c r="J715" s="32">
        <v>0</v>
      </c>
      <c r="K715" s="34">
        <v>0</v>
      </c>
      <c r="L715" s="32">
        <v>0</v>
      </c>
      <c r="M715" s="32">
        <v>0</v>
      </c>
      <c r="N715" s="32">
        <v>0</v>
      </c>
      <c r="O715" s="32">
        <v>0</v>
      </c>
      <c r="P715" s="32">
        <v>0</v>
      </c>
      <c r="Q715" s="32">
        <v>0</v>
      </c>
      <c r="R715" s="32">
        <v>0</v>
      </c>
      <c r="S715" s="32">
        <v>0</v>
      </c>
      <c r="T715" s="32">
        <v>0</v>
      </c>
      <c r="U715" s="32">
        <v>0</v>
      </c>
      <c r="V715" s="32">
        <v>0</v>
      </c>
      <c r="W715" s="32">
        <v>0</v>
      </c>
      <c r="X715" s="32">
        <v>0</v>
      </c>
      <c r="Y715" s="32">
        <v>0</v>
      </c>
      <c r="Z715" s="32">
        <v>0</v>
      </c>
      <c r="AA715" s="32">
        <v>0</v>
      </c>
      <c r="AB715" s="32">
        <v>0</v>
      </c>
      <c r="AC715" s="32">
        <f t="shared" si="284"/>
        <v>0</v>
      </c>
      <c r="AD715" s="32">
        <v>120000</v>
      </c>
      <c r="AE715" s="32">
        <v>0</v>
      </c>
      <c r="AF715" s="35">
        <v>2021</v>
      </c>
      <c r="AG715" s="35" t="s">
        <v>275</v>
      </c>
      <c r="AH715" s="36" t="s">
        <v>275</v>
      </c>
    </row>
    <row r="716" spans="1:46" ht="61.5" x14ac:dyDescent="0.85">
      <c r="A716" s="21">
        <v>1</v>
      </c>
      <c r="B716" s="70">
        <f>SUBTOTAL(103,$A$535:A716)</f>
        <v>180</v>
      </c>
      <c r="C716" s="25" t="s">
        <v>866</v>
      </c>
      <c r="D716" s="32">
        <f t="shared" si="279"/>
        <v>100000</v>
      </c>
      <c r="E716" s="32">
        <v>0</v>
      </c>
      <c r="F716" s="32">
        <v>0</v>
      </c>
      <c r="G716" s="32">
        <v>0</v>
      </c>
      <c r="H716" s="32">
        <v>0</v>
      </c>
      <c r="I716" s="32">
        <v>0</v>
      </c>
      <c r="J716" s="32">
        <v>0</v>
      </c>
      <c r="K716" s="34">
        <v>0</v>
      </c>
      <c r="L716" s="32">
        <v>0</v>
      </c>
      <c r="M716" s="32">
        <v>0</v>
      </c>
      <c r="N716" s="32">
        <v>0</v>
      </c>
      <c r="O716" s="32">
        <v>0</v>
      </c>
      <c r="P716" s="32">
        <v>0</v>
      </c>
      <c r="Q716" s="32">
        <v>0</v>
      </c>
      <c r="R716" s="32">
        <v>0</v>
      </c>
      <c r="S716" s="32">
        <v>0</v>
      </c>
      <c r="T716" s="32">
        <v>0</v>
      </c>
      <c r="U716" s="32">
        <v>0</v>
      </c>
      <c r="V716" s="32">
        <v>0</v>
      </c>
      <c r="W716" s="32">
        <v>0</v>
      </c>
      <c r="X716" s="32">
        <v>0</v>
      </c>
      <c r="Y716" s="32">
        <v>0</v>
      </c>
      <c r="Z716" s="32">
        <v>0</v>
      </c>
      <c r="AA716" s="32">
        <v>0</v>
      </c>
      <c r="AB716" s="32">
        <v>0</v>
      </c>
      <c r="AC716" s="32">
        <f t="shared" si="284"/>
        <v>0</v>
      </c>
      <c r="AD716" s="32">
        <v>100000</v>
      </c>
      <c r="AE716" s="32">
        <v>0</v>
      </c>
      <c r="AF716" s="35">
        <v>2021</v>
      </c>
      <c r="AG716" s="35" t="s">
        <v>275</v>
      </c>
      <c r="AH716" s="36" t="s">
        <v>275</v>
      </c>
    </row>
    <row r="717" spans="1:46" ht="61.5" x14ac:dyDescent="0.85">
      <c r="B717" s="25" t="s">
        <v>810</v>
      </c>
      <c r="C717" s="25"/>
      <c r="D717" s="32">
        <f>SUM(D718:D737)</f>
        <v>45207673.119999997</v>
      </c>
      <c r="E717" s="32">
        <f t="shared" ref="E717:AE717" si="285">SUM(E718:E737)</f>
        <v>275881.71000000002</v>
      </c>
      <c r="F717" s="32">
        <f t="shared" si="285"/>
        <v>0</v>
      </c>
      <c r="G717" s="32">
        <f t="shared" si="285"/>
        <v>3732813.6399999997</v>
      </c>
      <c r="H717" s="32">
        <f t="shared" si="285"/>
        <v>0</v>
      </c>
      <c r="I717" s="32">
        <f t="shared" si="285"/>
        <v>1762660.5</v>
      </c>
      <c r="J717" s="32">
        <f t="shared" si="285"/>
        <v>0</v>
      </c>
      <c r="K717" s="34">
        <f t="shared" si="285"/>
        <v>12</v>
      </c>
      <c r="L717" s="32">
        <f t="shared" si="285"/>
        <v>25273073.890000001</v>
      </c>
      <c r="M717" s="32">
        <f t="shared" si="285"/>
        <v>2434</v>
      </c>
      <c r="N717" s="32">
        <f t="shared" si="285"/>
        <v>11504111.359999999</v>
      </c>
      <c r="O717" s="32">
        <f t="shared" si="285"/>
        <v>0</v>
      </c>
      <c r="P717" s="32">
        <f t="shared" si="285"/>
        <v>0</v>
      </c>
      <c r="Q717" s="32">
        <f t="shared" si="285"/>
        <v>0</v>
      </c>
      <c r="R717" s="32">
        <f t="shared" si="285"/>
        <v>0</v>
      </c>
      <c r="S717" s="32">
        <f t="shared" si="285"/>
        <v>0</v>
      </c>
      <c r="T717" s="32">
        <f t="shared" si="285"/>
        <v>0</v>
      </c>
      <c r="U717" s="32">
        <f t="shared" si="285"/>
        <v>0</v>
      </c>
      <c r="V717" s="32">
        <f t="shared" si="285"/>
        <v>0</v>
      </c>
      <c r="W717" s="32">
        <f t="shared" si="285"/>
        <v>0</v>
      </c>
      <c r="X717" s="32">
        <f t="shared" si="285"/>
        <v>0</v>
      </c>
      <c r="Y717" s="32">
        <f t="shared" si="285"/>
        <v>0</v>
      </c>
      <c r="Z717" s="32">
        <f t="shared" si="285"/>
        <v>0</v>
      </c>
      <c r="AA717" s="32">
        <f t="shared" si="285"/>
        <v>0</v>
      </c>
      <c r="AB717" s="32">
        <f t="shared" si="285"/>
        <v>0</v>
      </c>
      <c r="AC717" s="32">
        <f t="shared" si="285"/>
        <v>259132.02</v>
      </c>
      <c r="AD717" s="32">
        <f t="shared" si="285"/>
        <v>2400000</v>
      </c>
      <c r="AE717" s="32">
        <f t="shared" si="285"/>
        <v>0</v>
      </c>
      <c r="AF717" s="77" t="s">
        <v>801</v>
      </c>
      <c r="AG717" s="77" t="s">
        <v>801</v>
      </c>
      <c r="AH717" s="107" t="s">
        <v>801</v>
      </c>
      <c r="AT717" s="21" t="e">
        <f t="shared" ref="AT717:AT726" si="286">VLOOKUP(C717,AW:AX,2,FALSE)</f>
        <v>#N/A</v>
      </c>
    </row>
    <row r="718" spans="1:46" ht="61.5" x14ac:dyDescent="0.85">
      <c r="A718" s="21">
        <v>1</v>
      </c>
      <c r="B718" s="70">
        <f>SUBTOTAL(103,$A$535:A718)</f>
        <v>181</v>
      </c>
      <c r="C718" s="25" t="s">
        <v>823</v>
      </c>
      <c r="D718" s="32">
        <f t="shared" ref="D718:D737" si="287">E718+F718+G718+H718+I718+J718+L718+N718+P718+R718+T718+U718+V718+W718+X718+Y718+Z718+AA718+AB718+AC718+AD718+AE718</f>
        <v>3593042</v>
      </c>
      <c r="E718" s="32">
        <v>0</v>
      </c>
      <c r="F718" s="32">
        <v>0</v>
      </c>
      <c r="G718" s="32">
        <v>0</v>
      </c>
      <c r="H718" s="32">
        <v>0</v>
      </c>
      <c r="I718" s="32">
        <v>0</v>
      </c>
      <c r="J718" s="32">
        <v>0</v>
      </c>
      <c r="K718" s="34">
        <v>0</v>
      </c>
      <c r="L718" s="32">
        <v>0</v>
      </c>
      <c r="M718" s="32">
        <v>690</v>
      </c>
      <c r="N718" s="32">
        <v>3431568.47</v>
      </c>
      <c r="O718" s="32">
        <v>0</v>
      </c>
      <c r="P718" s="32">
        <v>0</v>
      </c>
      <c r="Q718" s="32">
        <v>0</v>
      </c>
      <c r="R718" s="32">
        <v>0</v>
      </c>
      <c r="S718" s="32">
        <v>0</v>
      </c>
      <c r="T718" s="32">
        <v>0</v>
      </c>
      <c r="U718" s="32">
        <v>0</v>
      </c>
      <c r="V718" s="32">
        <v>0</v>
      </c>
      <c r="W718" s="32">
        <v>0</v>
      </c>
      <c r="X718" s="32">
        <v>0</v>
      </c>
      <c r="Y718" s="32">
        <v>0</v>
      </c>
      <c r="Z718" s="32">
        <v>0</v>
      </c>
      <c r="AA718" s="32">
        <v>0</v>
      </c>
      <c r="AB718" s="32">
        <v>0</v>
      </c>
      <c r="AC718" s="32">
        <f>ROUND(N718*1.5%,2)</f>
        <v>51473.53</v>
      </c>
      <c r="AD718" s="32">
        <v>110000</v>
      </c>
      <c r="AE718" s="32">
        <v>0</v>
      </c>
      <c r="AF718" s="35">
        <v>2021</v>
      </c>
      <c r="AG718" s="35">
        <v>2021</v>
      </c>
      <c r="AH718" s="36">
        <v>2021</v>
      </c>
      <c r="AT718" s="21" t="e">
        <f t="shared" si="286"/>
        <v>#N/A</v>
      </c>
    </row>
    <row r="719" spans="1:46" ht="61.5" x14ac:dyDescent="0.85">
      <c r="A719" s="21">
        <v>1</v>
      </c>
      <c r="B719" s="70">
        <f>SUBTOTAL(103,$A$535:A719)</f>
        <v>182</v>
      </c>
      <c r="C719" s="25" t="s">
        <v>824</v>
      </c>
      <c r="D719" s="32">
        <f t="shared" si="287"/>
        <v>6429744.8300000001</v>
      </c>
      <c r="E719" s="32">
        <v>0</v>
      </c>
      <c r="F719" s="32">
        <v>0</v>
      </c>
      <c r="G719" s="32">
        <v>0</v>
      </c>
      <c r="H719" s="32">
        <v>0</v>
      </c>
      <c r="I719" s="32">
        <v>0</v>
      </c>
      <c r="J719" s="32">
        <v>0</v>
      </c>
      <c r="K719" s="34">
        <v>3</v>
      </c>
      <c r="L719" s="32">
        <v>6329744.8300000001</v>
      </c>
      <c r="M719" s="32">
        <v>0</v>
      </c>
      <c r="N719" s="32">
        <v>0</v>
      </c>
      <c r="O719" s="32">
        <v>0</v>
      </c>
      <c r="P719" s="32">
        <v>0</v>
      </c>
      <c r="Q719" s="32">
        <v>0</v>
      </c>
      <c r="R719" s="32">
        <v>0</v>
      </c>
      <c r="S719" s="32">
        <v>0</v>
      </c>
      <c r="T719" s="32">
        <v>0</v>
      </c>
      <c r="U719" s="32">
        <v>0</v>
      </c>
      <c r="V719" s="32">
        <v>0</v>
      </c>
      <c r="W719" s="32">
        <v>0</v>
      </c>
      <c r="X719" s="32">
        <v>0</v>
      </c>
      <c r="Y719" s="32">
        <v>0</v>
      </c>
      <c r="Z719" s="32">
        <v>0</v>
      </c>
      <c r="AA719" s="32">
        <v>0</v>
      </c>
      <c r="AB719" s="32">
        <v>0</v>
      </c>
      <c r="AC719" s="32">
        <v>0</v>
      </c>
      <c r="AD719" s="32">
        <v>100000</v>
      </c>
      <c r="AE719" s="32">
        <v>0</v>
      </c>
      <c r="AF719" s="35">
        <v>2021</v>
      </c>
      <c r="AG719" s="35">
        <v>2021</v>
      </c>
      <c r="AH719" s="36" t="s">
        <v>275</v>
      </c>
      <c r="AT719" s="21" t="e">
        <f t="shared" si="286"/>
        <v>#N/A</v>
      </c>
    </row>
    <row r="720" spans="1:46" ht="61.5" x14ac:dyDescent="0.85">
      <c r="A720" s="21">
        <v>1</v>
      </c>
      <c r="B720" s="70">
        <f>SUBTOTAL(103,$A$535:A720)</f>
        <v>183</v>
      </c>
      <c r="C720" s="25" t="s">
        <v>825</v>
      </c>
      <c r="D720" s="32">
        <f t="shared" si="287"/>
        <v>8572796.0600000005</v>
      </c>
      <c r="E720" s="32">
        <v>0</v>
      </c>
      <c r="F720" s="32">
        <v>0</v>
      </c>
      <c r="G720" s="32">
        <v>0</v>
      </c>
      <c r="H720" s="32">
        <v>0</v>
      </c>
      <c r="I720" s="32">
        <v>0</v>
      </c>
      <c r="J720" s="32">
        <v>0</v>
      </c>
      <c r="K720" s="34">
        <v>4</v>
      </c>
      <c r="L720" s="32">
        <v>8452796.0600000005</v>
      </c>
      <c r="M720" s="32">
        <v>0</v>
      </c>
      <c r="N720" s="32">
        <v>0</v>
      </c>
      <c r="O720" s="32">
        <v>0</v>
      </c>
      <c r="P720" s="32">
        <v>0</v>
      </c>
      <c r="Q720" s="32">
        <v>0</v>
      </c>
      <c r="R720" s="32">
        <v>0</v>
      </c>
      <c r="S720" s="32">
        <v>0</v>
      </c>
      <c r="T720" s="32">
        <v>0</v>
      </c>
      <c r="U720" s="32">
        <v>0</v>
      </c>
      <c r="V720" s="32">
        <v>0</v>
      </c>
      <c r="W720" s="32">
        <v>0</v>
      </c>
      <c r="X720" s="32">
        <v>0</v>
      </c>
      <c r="Y720" s="32">
        <v>0</v>
      </c>
      <c r="Z720" s="32">
        <v>0</v>
      </c>
      <c r="AA720" s="32">
        <v>0</v>
      </c>
      <c r="AB720" s="32">
        <v>0</v>
      </c>
      <c r="AC720" s="32">
        <v>0</v>
      </c>
      <c r="AD720" s="32">
        <v>120000</v>
      </c>
      <c r="AE720" s="32">
        <v>0</v>
      </c>
      <c r="AF720" s="35">
        <v>2021</v>
      </c>
      <c r="AG720" s="35">
        <v>2021</v>
      </c>
      <c r="AH720" s="36" t="s">
        <v>275</v>
      </c>
      <c r="AT720" s="21" t="e">
        <f t="shared" si="286"/>
        <v>#N/A</v>
      </c>
    </row>
    <row r="721" spans="1:46" ht="61.5" x14ac:dyDescent="0.85">
      <c r="A721" s="21">
        <v>1</v>
      </c>
      <c r="B721" s="70">
        <f>SUBTOTAL(103,$A$535:A721)</f>
        <v>184</v>
      </c>
      <c r="C721" s="25" t="s">
        <v>1153</v>
      </c>
      <c r="D721" s="32">
        <f t="shared" si="287"/>
        <v>2932000</v>
      </c>
      <c r="E721" s="32">
        <v>0</v>
      </c>
      <c r="F721" s="32">
        <v>0</v>
      </c>
      <c r="G721" s="32">
        <v>0</v>
      </c>
      <c r="H721" s="32">
        <v>0</v>
      </c>
      <c r="I721" s="32">
        <v>0</v>
      </c>
      <c r="J721" s="32">
        <v>0</v>
      </c>
      <c r="K721" s="34">
        <v>0</v>
      </c>
      <c r="L721" s="32">
        <v>0</v>
      </c>
      <c r="M721" s="32">
        <v>590</v>
      </c>
      <c r="N721" s="32">
        <v>2790147.78</v>
      </c>
      <c r="O721" s="32">
        <v>0</v>
      </c>
      <c r="P721" s="32">
        <v>0</v>
      </c>
      <c r="Q721" s="32">
        <v>0</v>
      </c>
      <c r="R721" s="32">
        <v>0</v>
      </c>
      <c r="S721" s="32">
        <v>0</v>
      </c>
      <c r="T721" s="32">
        <v>0</v>
      </c>
      <c r="U721" s="32">
        <v>0</v>
      </c>
      <c r="V721" s="32">
        <v>0</v>
      </c>
      <c r="W721" s="32">
        <v>0</v>
      </c>
      <c r="X721" s="32">
        <v>0</v>
      </c>
      <c r="Y721" s="32">
        <v>0</v>
      </c>
      <c r="Z721" s="32">
        <v>0</v>
      </c>
      <c r="AA721" s="32">
        <v>0</v>
      </c>
      <c r="AB721" s="32">
        <v>0</v>
      </c>
      <c r="AC721" s="32">
        <f>ROUND(N721*1.5%,2)</f>
        <v>41852.22</v>
      </c>
      <c r="AD721" s="32">
        <v>100000</v>
      </c>
      <c r="AE721" s="32">
        <v>0</v>
      </c>
      <c r="AF721" s="35">
        <v>2021</v>
      </c>
      <c r="AG721" s="35">
        <v>2021</v>
      </c>
      <c r="AH721" s="36">
        <v>2021</v>
      </c>
      <c r="AT721" s="21" t="e">
        <f t="shared" si="286"/>
        <v>#N/A</v>
      </c>
    </row>
    <row r="722" spans="1:46" ht="61.5" x14ac:dyDescent="0.85">
      <c r="A722" s="21">
        <v>1</v>
      </c>
      <c r="B722" s="70">
        <f>SUBTOTAL(103,$A$535:A722)</f>
        <v>185</v>
      </c>
      <c r="C722" s="25" t="s">
        <v>827</v>
      </c>
      <c r="D722" s="32">
        <f t="shared" si="287"/>
        <v>6057926.1899999995</v>
      </c>
      <c r="E722" s="32">
        <v>275881.71000000002</v>
      </c>
      <c r="F722" s="32">
        <v>0</v>
      </c>
      <c r="G722" s="32">
        <f>4232813.64-500000</f>
        <v>3732813.6399999997</v>
      </c>
      <c r="H722" s="32">
        <v>0</v>
      </c>
      <c r="I722" s="32">
        <f>1962660.5-200000</f>
        <v>1762660.5</v>
      </c>
      <c r="J722" s="32">
        <v>0</v>
      </c>
      <c r="K722" s="34">
        <v>0</v>
      </c>
      <c r="L722" s="32">
        <v>0</v>
      </c>
      <c r="M722" s="32">
        <v>0</v>
      </c>
      <c r="N722" s="32">
        <v>0</v>
      </c>
      <c r="O722" s="32">
        <v>0</v>
      </c>
      <c r="P722" s="32">
        <v>0</v>
      </c>
      <c r="Q722" s="32">
        <v>0</v>
      </c>
      <c r="R722" s="32">
        <v>0</v>
      </c>
      <c r="S722" s="32">
        <v>0</v>
      </c>
      <c r="T722" s="32">
        <v>0</v>
      </c>
      <c r="U722" s="32">
        <v>0</v>
      </c>
      <c r="V722" s="32">
        <v>0</v>
      </c>
      <c r="W722" s="32">
        <v>0</v>
      </c>
      <c r="X722" s="32">
        <v>0</v>
      </c>
      <c r="Y722" s="32">
        <v>0</v>
      </c>
      <c r="Z722" s="32">
        <v>0</v>
      </c>
      <c r="AA722" s="32">
        <v>0</v>
      </c>
      <c r="AB722" s="32">
        <v>0</v>
      </c>
      <c r="AC722" s="32">
        <f t="shared" ref="AC722" si="288">ROUND((E722+F722+G722+H722+I722+J722)*1.5%,2)</f>
        <v>86570.34</v>
      </c>
      <c r="AD722" s="32">
        <v>200000</v>
      </c>
      <c r="AE722" s="32">
        <v>0</v>
      </c>
      <c r="AF722" s="35">
        <v>2021</v>
      </c>
      <c r="AG722" s="35">
        <v>2021</v>
      </c>
      <c r="AH722" s="36">
        <v>2021</v>
      </c>
      <c r="AT722" s="21" t="e">
        <f t="shared" si="286"/>
        <v>#N/A</v>
      </c>
    </row>
    <row r="723" spans="1:46" ht="61.5" x14ac:dyDescent="0.85">
      <c r="A723" s="21">
        <v>1</v>
      </c>
      <c r="B723" s="70">
        <f>SUBTOTAL(103,$A$535:A723)</f>
        <v>186</v>
      </c>
      <c r="C723" s="25" t="s">
        <v>828</v>
      </c>
      <c r="D723" s="32">
        <f t="shared" si="287"/>
        <v>4286989.16</v>
      </c>
      <c r="E723" s="32">
        <v>0</v>
      </c>
      <c r="F723" s="32">
        <v>0</v>
      </c>
      <c r="G723" s="32">
        <v>0</v>
      </c>
      <c r="H723" s="32">
        <v>0</v>
      </c>
      <c r="I723" s="32">
        <v>0</v>
      </c>
      <c r="J723" s="32">
        <v>0</v>
      </c>
      <c r="K723" s="34">
        <v>2</v>
      </c>
      <c r="L723" s="32">
        <v>4186989.16</v>
      </c>
      <c r="M723" s="32">
        <v>0</v>
      </c>
      <c r="N723" s="32">
        <v>0</v>
      </c>
      <c r="O723" s="32">
        <v>0</v>
      </c>
      <c r="P723" s="32">
        <v>0</v>
      </c>
      <c r="Q723" s="32">
        <v>0</v>
      </c>
      <c r="R723" s="32">
        <v>0</v>
      </c>
      <c r="S723" s="32">
        <v>0</v>
      </c>
      <c r="T723" s="32">
        <v>0</v>
      </c>
      <c r="U723" s="32">
        <v>0</v>
      </c>
      <c r="V723" s="32">
        <v>0</v>
      </c>
      <c r="W723" s="32">
        <v>0</v>
      </c>
      <c r="X723" s="32">
        <v>0</v>
      </c>
      <c r="Y723" s="32">
        <v>0</v>
      </c>
      <c r="Z723" s="32">
        <v>0</v>
      </c>
      <c r="AA723" s="32">
        <v>0</v>
      </c>
      <c r="AB723" s="32">
        <v>0</v>
      </c>
      <c r="AC723" s="32">
        <v>0</v>
      </c>
      <c r="AD723" s="32">
        <v>100000</v>
      </c>
      <c r="AE723" s="32">
        <v>0</v>
      </c>
      <c r="AF723" s="35">
        <v>2021</v>
      </c>
      <c r="AG723" s="35">
        <v>2021</v>
      </c>
      <c r="AH723" s="36" t="s">
        <v>275</v>
      </c>
      <c r="AT723" s="21" t="e">
        <f t="shared" si="286"/>
        <v>#N/A</v>
      </c>
    </row>
    <row r="724" spans="1:46" ht="61.5" x14ac:dyDescent="0.85">
      <c r="A724" s="21">
        <v>1</v>
      </c>
      <c r="B724" s="70">
        <f>SUBTOTAL(103,$A$535:A724)</f>
        <v>187</v>
      </c>
      <c r="C724" s="25" t="s">
        <v>829</v>
      </c>
      <c r="D724" s="32">
        <f t="shared" si="287"/>
        <v>5501631.04</v>
      </c>
      <c r="E724" s="32">
        <v>0</v>
      </c>
      <c r="F724" s="32">
        <v>0</v>
      </c>
      <c r="G724" s="32">
        <v>0</v>
      </c>
      <c r="H724" s="32">
        <v>0</v>
      </c>
      <c r="I724" s="32">
        <v>0</v>
      </c>
      <c r="J724" s="32">
        <v>0</v>
      </c>
      <c r="K724" s="34">
        <v>0</v>
      </c>
      <c r="L724" s="32">
        <v>0</v>
      </c>
      <c r="M724" s="32">
        <v>1154</v>
      </c>
      <c r="N724" s="32">
        <f>5798972.61-516577.5</f>
        <v>5282395.1100000003</v>
      </c>
      <c r="O724" s="32">
        <v>0</v>
      </c>
      <c r="P724" s="32">
        <v>0</v>
      </c>
      <c r="Q724" s="32">
        <v>0</v>
      </c>
      <c r="R724" s="32">
        <v>0</v>
      </c>
      <c r="S724" s="32">
        <v>0</v>
      </c>
      <c r="T724" s="32">
        <v>0</v>
      </c>
      <c r="U724" s="32">
        <v>0</v>
      </c>
      <c r="V724" s="32">
        <v>0</v>
      </c>
      <c r="W724" s="32">
        <v>0</v>
      </c>
      <c r="X724" s="32">
        <v>0</v>
      </c>
      <c r="Y724" s="32">
        <v>0</v>
      </c>
      <c r="Z724" s="32">
        <v>0</v>
      </c>
      <c r="AA724" s="32">
        <v>0</v>
      </c>
      <c r="AB724" s="32">
        <v>0</v>
      </c>
      <c r="AC724" s="32">
        <f>ROUND(N724*1.5%,2)</f>
        <v>79235.929999999993</v>
      </c>
      <c r="AD724" s="32">
        <v>140000</v>
      </c>
      <c r="AE724" s="32">
        <v>0</v>
      </c>
      <c r="AF724" s="35">
        <v>2021</v>
      </c>
      <c r="AG724" s="35">
        <v>2021</v>
      </c>
      <c r="AH724" s="36">
        <v>2021</v>
      </c>
      <c r="AT724" s="21" t="e">
        <f t="shared" si="286"/>
        <v>#N/A</v>
      </c>
    </row>
    <row r="725" spans="1:46" ht="61.5" x14ac:dyDescent="0.85">
      <c r="A725" s="21">
        <v>1</v>
      </c>
      <c r="B725" s="70">
        <f>SUBTOTAL(103,$A$535:A725)</f>
        <v>188</v>
      </c>
      <c r="C725" s="25" t="s">
        <v>830</v>
      </c>
      <c r="D725" s="32">
        <f t="shared" si="287"/>
        <v>4286989.16</v>
      </c>
      <c r="E725" s="32">
        <v>0</v>
      </c>
      <c r="F725" s="32">
        <v>0</v>
      </c>
      <c r="G725" s="32">
        <v>0</v>
      </c>
      <c r="H725" s="32">
        <v>0</v>
      </c>
      <c r="I725" s="32">
        <v>0</v>
      </c>
      <c r="J725" s="32">
        <v>0</v>
      </c>
      <c r="K725" s="34">
        <v>2</v>
      </c>
      <c r="L725" s="32">
        <v>4186989.16</v>
      </c>
      <c r="M725" s="32">
        <v>0</v>
      </c>
      <c r="N725" s="32">
        <v>0</v>
      </c>
      <c r="O725" s="32">
        <v>0</v>
      </c>
      <c r="P725" s="32">
        <v>0</v>
      </c>
      <c r="Q725" s="32">
        <v>0</v>
      </c>
      <c r="R725" s="32">
        <v>0</v>
      </c>
      <c r="S725" s="32">
        <v>0</v>
      </c>
      <c r="T725" s="32">
        <v>0</v>
      </c>
      <c r="U725" s="32">
        <v>0</v>
      </c>
      <c r="V725" s="32">
        <v>0</v>
      </c>
      <c r="W725" s="32">
        <v>0</v>
      </c>
      <c r="X725" s="32">
        <v>0</v>
      </c>
      <c r="Y725" s="32">
        <v>0</v>
      </c>
      <c r="Z725" s="32">
        <v>0</v>
      </c>
      <c r="AA725" s="32">
        <v>0</v>
      </c>
      <c r="AB725" s="32">
        <v>0</v>
      </c>
      <c r="AC725" s="32">
        <v>0</v>
      </c>
      <c r="AD725" s="32">
        <v>100000</v>
      </c>
      <c r="AE725" s="32">
        <v>0</v>
      </c>
      <c r="AF725" s="35">
        <v>2021</v>
      </c>
      <c r="AG725" s="35">
        <v>2021</v>
      </c>
      <c r="AH725" s="36" t="s">
        <v>275</v>
      </c>
      <c r="AT725" s="21" t="e">
        <f t="shared" si="286"/>
        <v>#N/A</v>
      </c>
    </row>
    <row r="726" spans="1:46" ht="61.5" x14ac:dyDescent="0.85">
      <c r="A726" s="21">
        <v>1</v>
      </c>
      <c r="B726" s="70">
        <f>SUBTOTAL(103,$A$535:A726)</f>
        <v>189</v>
      </c>
      <c r="C726" s="25" t="s">
        <v>831</v>
      </c>
      <c r="D726" s="32">
        <f t="shared" si="287"/>
        <v>2216554.6800000002</v>
      </c>
      <c r="E726" s="32">
        <v>0</v>
      </c>
      <c r="F726" s="32">
        <v>0</v>
      </c>
      <c r="G726" s="32">
        <v>0</v>
      </c>
      <c r="H726" s="32">
        <v>0</v>
      </c>
      <c r="I726" s="32">
        <v>0</v>
      </c>
      <c r="J726" s="32">
        <v>0</v>
      </c>
      <c r="K726" s="34">
        <v>1</v>
      </c>
      <c r="L726" s="32">
        <v>2116554.6800000002</v>
      </c>
      <c r="M726" s="32">
        <v>0</v>
      </c>
      <c r="N726" s="32">
        <v>0</v>
      </c>
      <c r="O726" s="32">
        <v>0</v>
      </c>
      <c r="P726" s="32">
        <v>0</v>
      </c>
      <c r="Q726" s="32">
        <v>0</v>
      </c>
      <c r="R726" s="32">
        <v>0</v>
      </c>
      <c r="S726" s="32">
        <v>0</v>
      </c>
      <c r="T726" s="32">
        <v>0</v>
      </c>
      <c r="U726" s="32">
        <v>0</v>
      </c>
      <c r="V726" s="32">
        <v>0</v>
      </c>
      <c r="W726" s="32">
        <v>0</v>
      </c>
      <c r="X726" s="32">
        <v>0</v>
      </c>
      <c r="Y726" s="32">
        <v>0</v>
      </c>
      <c r="Z726" s="32">
        <v>0</v>
      </c>
      <c r="AA726" s="32">
        <v>0</v>
      </c>
      <c r="AB726" s="32">
        <v>0</v>
      </c>
      <c r="AC726" s="32">
        <v>0</v>
      </c>
      <c r="AD726" s="32">
        <v>100000</v>
      </c>
      <c r="AE726" s="32">
        <v>0</v>
      </c>
      <c r="AF726" s="35">
        <v>2021</v>
      </c>
      <c r="AG726" s="35">
        <v>2021</v>
      </c>
      <c r="AH726" s="36" t="s">
        <v>275</v>
      </c>
      <c r="AT726" s="21" t="e">
        <f t="shared" si="286"/>
        <v>#N/A</v>
      </c>
    </row>
    <row r="727" spans="1:46" ht="61.5" x14ac:dyDescent="0.85">
      <c r="A727" s="21">
        <v>1</v>
      </c>
      <c r="B727" s="70">
        <f>SUBTOTAL(103,$A$535:A727)</f>
        <v>190</v>
      </c>
      <c r="C727" s="25" t="s">
        <v>833</v>
      </c>
      <c r="D727" s="32">
        <f t="shared" si="287"/>
        <v>110000</v>
      </c>
      <c r="E727" s="32">
        <v>0</v>
      </c>
      <c r="F727" s="32">
        <v>0</v>
      </c>
      <c r="G727" s="32">
        <v>0</v>
      </c>
      <c r="H727" s="32">
        <v>0</v>
      </c>
      <c r="I727" s="32">
        <v>0</v>
      </c>
      <c r="J727" s="32">
        <v>0</v>
      </c>
      <c r="K727" s="34">
        <v>0</v>
      </c>
      <c r="L727" s="32">
        <v>0</v>
      </c>
      <c r="M727" s="32">
        <v>0</v>
      </c>
      <c r="N727" s="32">
        <v>0</v>
      </c>
      <c r="O727" s="32">
        <v>0</v>
      </c>
      <c r="P727" s="32">
        <v>0</v>
      </c>
      <c r="Q727" s="32">
        <v>0</v>
      </c>
      <c r="R727" s="32">
        <v>0</v>
      </c>
      <c r="S727" s="32">
        <v>0</v>
      </c>
      <c r="T727" s="32">
        <v>0</v>
      </c>
      <c r="U727" s="32">
        <v>0</v>
      </c>
      <c r="V727" s="32">
        <v>0</v>
      </c>
      <c r="W727" s="32">
        <v>0</v>
      </c>
      <c r="X727" s="32">
        <v>0</v>
      </c>
      <c r="Y727" s="32">
        <v>0</v>
      </c>
      <c r="Z727" s="32">
        <v>0</v>
      </c>
      <c r="AA727" s="32">
        <v>0</v>
      </c>
      <c r="AB727" s="32">
        <v>0</v>
      </c>
      <c r="AC727" s="32">
        <v>0</v>
      </c>
      <c r="AD727" s="32">
        <v>110000</v>
      </c>
      <c r="AE727" s="32">
        <v>0</v>
      </c>
      <c r="AF727" s="35">
        <v>2021</v>
      </c>
      <c r="AG727" s="35" t="s">
        <v>275</v>
      </c>
      <c r="AH727" s="36" t="s">
        <v>275</v>
      </c>
    </row>
    <row r="728" spans="1:46" ht="61.5" x14ac:dyDescent="0.85">
      <c r="A728" s="21">
        <v>1</v>
      </c>
      <c r="B728" s="70">
        <f>SUBTOTAL(103,$A$535:A728)</f>
        <v>191</v>
      </c>
      <c r="C728" s="25" t="s">
        <v>834</v>
      </c>
      <c r="D728" s="32">
        <f t="shared" si="287"/>
        <v>110000</v>
      </c>
      <c r="E728" s="32">
        <v>0</v>
      </c>
      <c r="F728" s="32">
        <v>0</v>
      </c>
      <c r="G728" s="32">
        <v>0</v>
      </c>
      <c r="H728" s="32">
        <v>0</v>
      </c>
      <c r="I728" s="32">
        <v>0</v>
      </c>
      <c r="J728" s="32">
        <v>0</v>
      </c>
      <c r="K728" s="34">
        <v>0</v>
      </c>
      <c r="L728" s="32">
        <v>0</v>
      </c>
      <c r="M728" s="32">
        <v>0</v>
      </c>
      <c r="N728" s="32">
        <v>0</v>
      </c>
      <c r="O728" s="32">
        <v>0</v>
      </c>
      <c r="P728" s="32">
        <v>0</v>
      </c>
      <c r="Q728" s="32">
        <v>0</v>
      </c>
      <c r="R728" s="32">
        <v>0</v>
      </c>
      <c r="S728" s="32">
        <v>0</v>
      </c>
      <c r="T728" s="32">
        <v>0</v>
      </c>
      <c r="U728" s="32">
        <v>0</v>
      </c>
      <c r="V728" s="32">
        <v>0</v>
      </c>
      <c r="W728" s="32">
        <v>0</v>
      </c>
      <c r="X728" s="32">
        <v>0</v>
      </c>
      <c r="Y728" s="32">
        <v>0</v>
      </c>
      <c r="Z728" s="32">
        <v>0</v>
      </c>
      <c r="AA728" s="32">
        <v>0</v>
      </c>
      <c r="AB728" s="32">
        <v>0</v>
      </c>
      <c r="AC728" s="32">
        <v>0</v>
      </c>
      <c r="AD728" s="32">
        <v>110000</v>
      </c>
      <c r="AE728" s="32">
        <v>0</v>
      </c>
      <c r="AF728" s="35">
        <v>2021</v>
      </c>
      <c r="AG728" s="35" t="s">
        <v>275</v>
      </c>
      <c r="AH728" s="36" t="s">
        <v>275</v>
      </c>
    </row>
    <row r="729" spans="1:46" ht="61.5" x14ac:dyDescent="0.85">
      <c r="A729" s="21">
        <v>1</v>
      </c>
      <c r="B729" s="70">
        <f>SUBTOTAL(103,$A$535:A729)</f>
        <v>192</v>
      </c>
      <c r="C729" s="25" t="s">
        <v>1154</v>
      </c>
      <c r="D729" s="32">
        <f t="shared" si="287"/>
        <v>110000</v>
      </c>
      <c r="E729" s="32">
        <v>0</v>
      </c>
      <c r="F729" s="32">
        <v>0</v>
      </c>
      <c r="G729" s="32">
        <v>0</v>
      </c>
      <c r="H729" s="32">
        <v>0</v>
      </c>
      <c r="I729" s="32">
        <v>0</v>
      </c>
      <c r="J729" s="32">
        <v>0</v>
      </c>
      <c r="K729" s="34">
        <v>0</v>
      </c>
      <c r="L729" s="32">
        <v>0</v>
      </c>
      <c r="M729" s="32">
        <v>0</v>
      </c>
      <c r="N729" s="32">
        <v>0</v>
      </c>
      <c r="O729" s="32">
        <v>0</v>
      </c>
      <c r="P729" s="32">
        <v>0</v>
      </c>
      <c r="Q729" s="32">
        <v>0</v>
      </c>
      <c r="R729" s="32">
        <v>0</v>
      </c>
      <c r="S729" s="32">
        <v>0</v>
      </c>
      <c r="T729" s="32">
        <v>0</v>
      </c>
      <c r="U729" s="32">
        <v>0</v>
      </c>
      <c r="V729" s="32">
        <v>0</v>
      </c>
      <c r="W729" s="32">
        <v>0</v>
      </c>
      <c r="X729" s="32">
        <v>0</v>
      </c>
      <c r="Y729" s="32">
        <v>0</v>
      </c>
      <c r="Z729" s="32">
        <v>0</v>
      </c>
      <c r="AA729" s="32">
        <v>0</v>
      </c>
      <c r="AB729" s="32">
        <v>0</v>
      </c>
      <c r="AC729" s="32">
        <v>0</v>
      </c>
      <c r="AD729" s="32">
        <v>110000</v>
      </c>
      <c r="AE729" s="32">
        <v>0</v>
      </c>
      <c r="AF729" s="35">
        <v>2021</v>
      </c>
      <c r="AG729" s="35" t="s">
        <v>275</v>
      </c>
      <c r="AH729" s="36" t="s">
        <v>275</v>
      </c>
    </row>
    <row r="730" spans="1:46" ht="61.5" x14ac:dyDescent="0.85">
      <c r="A730" s="21">
        <v>1</v>
      </c>
      <c r="B730" s="70">
        <f>SUBTOTAL(103,$A$535:A730)</f>
        <v>193</v>
      </c>
      <c r="C730" s="25" t="s">
        <v>836</v>
      </c>
      <c r="D730" s="32">
        <f t="shared" si="287"/>
        <v>120000</v>
      </c>
      <c r="E730" s="32">
        <v>0</v>
      </c>
      <c r="F730" s="32">
        <v>0</v>
      </c>
      <c r="G730" s="32">
        <v>0</v>
      </c>
      <c r="H730" s="32">
        <v>0</v>
      </c>
      <c r="I730" s="32">
        <v>0</v>
      </c>
      <c r="J730" s="32">
        <v>0</v>
      </c>
      <c r="K730" s="34">
        <v>0</v>
      </c>
      <c r="L730" s="32">
        <v>0</v>
      </c>
      <c r="M730" s="32">
        <v>0</v>
      </c>
      <c r="N730" s="32">
        <v>0</v>
      </c>
      <c r="O730" s="32">
        <v>0</v>
      </c>
      <c r="P730" s="32">
        <v>0</v>
      </c>
      <c r="Q730" s="32">
        <v>0</v>
      </c>
      <c r="R730" s="32">
        <v>0</v>
      </c>
      <c r="S730" s="32">
        <v>0</v>
      </c>
      <c r="T730" s="32">
        <v>0</v>
      </c>
      <c r="U730" s="32">
        <v>0</v>
      </c>
      <c r="V730" s="32">
        <v>0</v>
      </c>
      <c r="W730" s="32">
        <v>0</v>
      </c>
      <c r="X730" s="32">
        <v>0</v>
      </c>
      <c r="Y730" s="32">
        <v>0</v>
      </c>
      <c r="Z730" s="32">
        <v>0</v>
      </c>
      <c r="AA730" s="32">
        <v>0</v>
      </c>
      <c r="AB730" s="32">
        <v>0</v>
      </c>
      <c r="AC730" s="32">
        <v>0</v>
      </c>
      <c r="AD730" s="32">
        <v>120000</v>
      </c>
      <c r="AE730" s="32">
        <v>0</v>
      </c>
      <c r="AF730" s="35">
        <v>2021</v>
      </c>
      <c r="AG730" s="35" t="s">
        <v>275</v>
      </c>
      <c r="AH730" s="36" t="s">
        <v>275</v>
      </c>
    </row>
    <row r="731" spans="1:46" ht="61.5" x14ac:dyDescent="0.85">
      <c r="A731" s="21">
        <v>1</v>
      </c>
      <c r="B731" s="70">
        <f>SUBTOTAL(103,$A$535:A731)</f>
        <v>194</v>
      </c>
      <c r="C731" s="25" t="s">
        <v>838</v>
      </c>
      <c r="D731" s="32">
        <f t="shared" si="287"/>
        <v>140000</v>
      </c>
      <c r="E731" s="32">
        <v>0</v>
      </c>
      <c r="F731" s="32">
        <v>0</v>
      </c>
      <c r="G731" s="32">
        <v>0</v>
      </c>
      <c r="H731" s="32">
        <v>0</v>
      </c>
      <c r="I731" s="32">
        <v>0</v>
      </c>
      <c r="J731" s="32">
        <v>0</v>
      </c>
      <c r="K731" s="34">
        <v>0</v>
      </c>
      <c r="L731" s="32">
        <v>0</v>
      </c>
      <c r="M731" s="32">
        <v>0</v>
      </c>
      <c r="N731" s="32">
        <v>0</v>
      </c>
      <c r="O731" s="32">
        <v>0</v>
      </c>
      <c r="P731" s="32">
        <v>0</v>
      </c>
      <c r="Q731" s="32">
        <v>0</v>
      </c>
      <c r="R731" s="32">
        <v>0</v>
      </c>
      <c r="S731" s="32">
        <v>0</v>
      </c>
      <c r="T731" s="32">
        <v>0</v>
      </c>
      <c r="U731" s="32">
        <v>0</v>
      </c>
      <c r="V731" s="32">
        <v>0</v>
      </c>
      <c r="W731" s="32">
        <v>0</v>
      </c>
      <c r="X731" s="32">
        <v>0</v>
      </c>
      <c r="Y731" s="32">
        <v>0</v>
      </c>
      <c r="Z731" s="32">
        <v>0</v>
      </c>
      <c r="AA731" s="32">
        <v>0</v>
      </c>
      <c r="AB731" s="32">
        <v>0</v>
      </c>
      <c r="AC731" s="32">
        <v>0</v>
      </c>
      <c r="AD731" s="32">
        <v>140000</v>
      </c>
      <c r="AE731" s="32">
        <v>0</v>
      </c>
      <c r="AF731" s="35">
        <v>2021</v>
      </c>
      <c r="AG731" s="35" t="s">
        <v>275</v>
      </c>
      <c r="AH731" s="36" t="s">
        <v>275</v>
      </c>
    </row>
    <row r="732" spans="1:46" ht="61.5" x14ac:dyDescent="0.85">
      <c r="A732" s="21">
        <v>1</v>
      </c>
      <c r="B732" s="70">
        <f>SUBTOTAL(103,$A$535:A732)</f>
        <v>195</v>
      </c>
      <c r="C732" s="25" t="s">
        <v>839</v>
      </c>
      <c r="D732" s="32">
        <f t="shared" si="287"/>
        <v>110000</v>
      </c>
      <c r="E732" s="32">
        <v>0</v>
      </c>
      <c r="F732" s="32">
        <v>0</v>
      </c>
      <c r="G732" s="32">
        <v>0</v>
      </c>
      <c r="H732" s="32">
        <v>0</v>
      </c>
      <c r="I732" s="32">
        <v>0</v>
      </c>
      <c r="J732" s="32">
        <v>0</v>
      </c>
      <c r="K732" s="34">
        <v>0</v>
      </c>
      <c r="L732" s="32">
        <v>0</v>
      </c>
      <c r="M732" s="32">
        <v>0</v>
      </c>
      <c r="N732" s="32">
        <v>0</v>
      </c>
      <c r="O732" s="32">
        <v>0</v>
      </c>
      <c r="P732" s="32">
        <v>0</v>
      </c>
      <c r="Q732" s="32">
        <v>0</v>
      </c>
      <c r="R732" s="32">
        <v>0</v>
      </c>
      <c r="S732" s="32">
        <v>0</v>
      </c>
      <c r="T732" s="32">
        <v>0</v>
      </c>
      <c r="U732" s="32">
        <v>0</v>
      </c>
      <c r="V732" s="32">
        <v>0</v>
      </c>
      <c r="W732" s="32">
        <v>0</v>
      </c>
      <c r="X732" s="32">
        <v>0</v>
      </c>
      <c r="Y732" s="32">
        <v>0</v>
      </c>
      <c r="Z732" s="32">
        <v>0</v>
      </c>
      <c r="AA732" s="32">
        <v>0</v>
      </c>
      <c r="AB732" s="32">
        <v>0</v>
      </c>
      <c r="AC732" s="32">
        <v>0</v>
      </c>
      <c r="AD732" s="32">
        <v>110000</v>
      </c>
      <c r="AE732" s="32">
        <v>0</v>
      </c>
      <c r="AF732" s="35">
        <v>2021</v>
      </c>
      <c r="AG732" s="35" t="s">
        <v>275</v>
      </c>
      <c r="AH732" s="36" t="s">
        <v>275</v>
      </c>
    </row>
    <row r="733" spans="1:46" ht="61.5" x14ac:dyDescent="0.85">
      <c r="A733" s="21">
        <v>1</v>
      </c>
      <c r="B733" s="70">
        <f>SUBTOTAL(103,$A$535:A733)</f>
        <v>196</v>
      </c>
      <c r="C733" s="25" t="s">
        <v>837</v>
      </c>
      <c r="D733" s="32">
        <f t="shared" si="287"/>
        <v>110000</v>
      </c>
      <c r="E733" s="32">
        <v>0</v>
      </c>
      <c r="F733" s="32">
        <v>0</v>
      </c>
      <c r="G733" s="32">
        <v>0</v>
      </c>
      <c r="H733" s="32">
        <v>0</v>
      </c>
      <c r="I733" s="32">
        <v>0</v>
      </c>
      <c r="J733" s="32">
        <v>0</v>
      </c>
      <c r="K733" s="34">
        <v>0</v>
      </c>
      <c r="L733" s="32">
        <v>0</v>
      </c>
      <c r="M733" s="32">
        <v>0</v>
      </c>
      <c r="N733" s="32">
        <v>0</v>
      </c>
      <c r="O733" s="32">
        <v>0</v>
      </c>
      <c r="P733" s="32">
        <v>0</v>
      </c>
      <c r="Q733" s="32">
        <v>0</v>
      </c>
      <c r="R733" s="32">
        <v>0</v>
      </c>
      <c r="S733" s="32">
        <v>0</v>
      </c>
      <c r="T733" s="32">
        <v>0</v>
      </c>
      <c r="U733" s="32">
        <v>0</v>
      </c>
      <c r="V733" s="32">
        <v>0</v>
      </c>
      <c r="W733" s="32">
        <v>0</v>
      </c>
      <c r="X733" s="32">
        <v>0</v>
      </c>
      <c r="Y733" s="32">
        <v>0</v>
      </c>
      <c r="Z733" s="32">
        <v>0</v>
      </c>
      <c r="AA733" s="32">
        <v>0</v>
      </c>
      <c r="AB733" s="32">
        <v>0</v>
      </c>
      <c r="AC733" s="32">
        <v>0</v>
      </c>
      <c r="AD733" s="32">
        <v>110000</v>
      </c>
      <c r="AE733" s="32">
        <v>0</v>
      </c>
      <c r="AF733" s="35">
        <v>2021</v>
      </c>
      <c r="AG733" s="35" t="s">
        <v>275</v>
      </c>
      <c r="AH733" s="36" t="s">
        <v>275</v>
      </c>
    </row>
    <row r="734" spans="1:46" ht="61.5" x14ac:dyDescent="0.85">
      <c r="A734" s="21">
        <v>1</v>
      </c>
      <c r="B734" s="70">
        <f>SUBTOTAL(103,$A$535:A734)</f>
        <v>197</v>
      </c>
      <c r="C734" s="25" t="s">
        <v>840</v>
      </c>
      <c r="D734" s="32">
        <f t="shared" si="287"/>
        <v>110000</v>
      </c>
      <c r="E734" s="32">
        <v>0</v>
      </c>
      <c r="F734" s="32">
        <v>0</v>
      </c>
      <c r="G734" s="32">
        <v>0</v>
      </c>
      <c r="H734" s="32">
        <v>0</v>
      </c>
      <c r="I734" s="32">
        <v>0</v>
      </c>
      <c r="J734" s="32">
        <v>0</v>
      </c>
      <c r="K734" s="34">
        <v>0</v>
      </c>
      <c r="L734" s="32">
        <v>0</v>
      </c>
      <c r="M734" s="32">
        <v>0</v>
      </c>
      <c r="N734" s="32">
        <v>0</v>
      </c>
      <c r="O734" s="32">
        <v>0</v>
      </c>
      <c r="P734" s="32">
        <v>0</v>
      </c>
      <c r="Q734" s="32">
        <v>0</v>
      </c>
      <c r="R734" s="32">
        <v>0</v>
      </c>
      <c r="S734" s="32">
        <v>0</v>
      </c>
      <c r="T734" s="32">
        <v>0</v>
      </c>
      <c r="U734" s="32">
        <v>0</v>
      </c>
      <c r="V734" s="32">
        <v>0</v>
      </c>
      <c r="W734" s="32">
        <v>0</v>
      </c>
      <c r="X734" s="32">
        <v>0</v>
      </c>
      <c r="Y734" s="32">
        <v>0</v>
      </c>
      <c r="Z734" s="32">
        <v>0</v>
      </c>
      <c r="AA734" s="32">
        <v>0</v>
      </c>
      <c r="AB734" s="32">
        <v>0</v>
      </c>
      <c r="AC734" s="32">
        <v>0</v>
      </c>
      <c r="AD734" s="32">
        <v>110000</v>
      </c>
      <c r="AE734" s="32">
        <v>0</v>
      </c>
      <c r="AF734" s="35">
        <v>2021</v>
      </c>
      <c r="AG734" s="35" t="s">
        <v>275</v>
      </c>
      <c r="AH734" s="36" t="s">
        <v>275</v>
      </c>
    </row>
    <row r="735" spans="1:46" ht="61.5" x14ac:dyDescent="0.85">
      <c r="A735" s="21">
        <v>1</v>
      </c>
      <c r="B735" s="70">
        <f>SUBTOTAL(103,$A$535:A735)</f>
        <v>198</v>
      </c>
      <c r="C735" s="25" t="s">
        <v>841</v>
      </c>
      <c r="D735" s="32">
        <f t="shared" si="287"/>
        <v>130000</v>
      </c>
      <c r="E735" s="32">
        <v>0</v>
      </c>
      <c r="F735" s="32">
        <v>0</v>
      </c>
      <c r="G735" s="32">
        <v>0</v>
      </c>
      <c r="H735" s="32">
        <v>0</v>
      </c>
      <c r="I735" s="32">
        <v>0</v>
      </c>
      <c r="J735" s="32">
        <v>0</v>
      </c>
      <c r="K735" s="34">
        <v>0</v>
      </c>
      <c r="L735" s="32">
        <v>0</v>
      </c>
      <c r="M735" s="32">
        <v>0</v>
      </c>
      <c r="N735" s="32">
        <v>0</v>
      </c>
      <c r="O735" s="32">
        <v>0</v>
      </c>
      <c r="P735" s="32">
        <v>0</v>
      </c>
      <c r="Q735" s="32">
        <v>0</v>
      </c>
      <c r="R735" s="32">
        <v>0</v>
      </c>
      <c r="S735" s="32">
        <v>0</v>
      </c>
      <c r="T735" s="32">
        <v>0</v>
      </c>
      <c r="U735" s="32">
        <v>0</v>
      </c>
      <c r="V735" s="32">
        <v>0</v>
      </c>
      <c r="W735" s="32">
        <v>0</v>
      </c>
      <c r="X735" s="32">
        <v>0</v>
      </c>
      <c r="Y735" s="32">
        <v>0</v>
      </c>
      <c r="Z735" s="32">
        <v>0</v>
      </c>
      <c r="AA735" s="32">
        <v>0</v>
      </c>
      <c r="AB735" s="32">
        <v>0</v>
      </c>
      <c r="AC735" s="32">
        <v>0</v>
      </c>
      <c r="AD735" s="32">
        <v>130000</v>
      </c>
      <c r="AE735" s="32">
        <v>0</v>
      </c>
      <c r="AF735" s="35">
        <v>2021</v>
      </c>
      <c r="AG735" s="35" t="s">
        <v>275</v>
      </c>
      <c r="AH735" s="36" t="s">
        <v>275</v>
      </c>
    </row>
    <row r="736" spans="1:46" ht="61.5" x14ac:dyDescent="0.85">
      <c r="A736" s="21">
        <v>1</v>
      </c>
      <c r="B736" s="70">
        <f>SUBTOTAL(103,$A$535:A736)</f>
        <v>199</v>
      </c>
      <c r="C736" s="25" t="s">
        <v>842</v>
      </c>
      <c r="D736" s="32">
        <f t="shared" si="287"/>
        <v>200000</v>
      </c>
      <c r="E736" s="32">
        <v>0</v>
      </c>
      <c r="F736" s="32">
        <v>0</v>
      </c>
      <c r="G736" s="32">
        <v>0</v>
      </c>
      <c r="H736" s="32">
        <v>0</v>
      </c>
      <c r="I736" s="32">
        <v>0</v>
      </c>
      <c r="J736" s="32">
        <v>0</v>
      </c>
      <c r="K736" s="34">
        <v>0</v>
      </c>
      <c r="L736" s="32">
        <v>0</v>
      </c>
      <c r="M736" s="32">
        <v>0</v>
      </c>
      <c r="N736" s="32">
        <v>0</v>
      </c>
      <c r="O736" s="32">
        <v>0</v>
      </c>
      <c r="P736" s="32">
        <v>0</v>
      </c>
      <c r="Q736" s="32">
        <v>0</v>
      </c>
      <c r="R736" s="32">
        <v>0</v>
      </c>
      <c r="S736" s="32">
        <v>0</v>
      </c>
      <c r="T736" s="32">
        <v>0</v>
      </c>
      <c r="U736" s="32">
        <v>0</v>
      </c>
      <c r="V736" s="32">
        <v>0</v>
      </c>
      <c r="W736" s="32">
        <v>0</v>
      </c>
      <c r="X736" s="32">
        <v>0</v>
      </c>
      <c r="Y736" s="32">
        <v>0</v>
      </c>
      <c r="Z736" s="32">
        <v>0</v>
      </c>
      <c r="AA736" s="32">
        <v>0</v>
      </c>
      <c r="AB736" s="32">
        <v>0</v>
      </c>
      <c r="AC736" s="32">
        <v>0</v>
      </c>
      <c r="AD736" s="32">
        <v>200000</v>
      </c>
      <c r="AE736" s="32">
        <v>0</v>
      </c>
      <c r="AF736" s="35">
        <v>2021</v>
      </c>
      <c r="AG736" s="35" t="s">
        <v>275</v>
      </c>
      <c r="AH736" s="36" t="s">
        <v>275</v>
      </c>
    </row>
    <row r="737" spans="1:46" ht="61.5" x14ac:dyDescent="0.85">
      <c r="A737" s="21">
        <v>1</v>
      </c>
      <c r="B737" s="70">
        <f>SUBTOTAL(103,$A$535:A737)</f>
        <v>200</v>
      </c>
      <c r="C737" s="25" t="s">
        <v>865</v>
      </c>
      <c r="D737" s="32">
        <f t="shared" si="287"/>
        <v>80000</v>
      </c>
      <c r="E737" s="32">
        <v>0</v>
      </c>
      <c r="F737" s="32">
        <v>0</v>
      </c>
      <c r="G737" s="32">
        <v>0</v>
      </c>
      <c r="H737" s="32">
        <v>0</v>
      </c>
      <c r="I737" s="32">
        <v>0</v>
      </c>
      <c r="J737" s="32">
        <v>0</v>
      </c>
      <c r="K737" s="34">
        <v>0</v>
      </c>
      <c r="L737" s="32">
        <v>0</v>
      </c>
      <c r="M737" s="32">
        <v>0</v>
      </c>
      <c r="N737" s="32">
        <v>0</v>
      </c>
      <c r="O737" s="32">
        <v>0</v>
      </c>
      <c r="P737" s="32">
        <v>0</v>
      </c>
      <c r="Q737" s="32">
        <v>0</v>
      </c>
      <c r="R737" s="32">
        <v>0</v>
      </c>
      <c r="S737" s="32">
        <v>0</v>
      </c>
      <c r="T737" s="32">
        <v>0</v>
      </c>
      <c r="U737" s="32">
        <v>0</v>
      </c>
      <c r="V737" s="32">
        <v>0</v>
      </c>
      <c r="W737" s="32">
        <v>0</v>
      </c>
      <c r="X737" s="32">
        <v>0</v>
      </c>
      <c r="Y737" s="32">
        <v>0</v>
      </c>
      <c r="Z737" s="32">
        <v>0</v>
      </c>
      <c r="AA737" s="32">
        <v>0</v>
      </c>
      <c r="AB737" s="32">
        <v>0</v>
      </c>
      <c r="AC737" s="32">
        <v>0</v>
      </c>
      <c r="AD737" s="32">
        <v>80000</v>
      </c>
      <c r="AE737" s="32">
        <v>0</v>
      </c>
      <c r="AF737" s="35">
        <v>2021</v>
      </c>
      <c r="AG737" s="35" t="s">
        <v>275</v>
      </c>
      <c r="AH737" s="36" t="s">
        <v>275</v>
      </c>
    </row>
    <row r="738" spans="1:46" ht="61.5" x14ac:dyDescent="0.85">
      <c r="B738" s="25" t="s">
        <v>808</v>
      </c>
      <c r="C738" s="110"/>
      <c r="D738" s="32">
        <f t="shared" ref="D738:AE738" si="289">SUM(D739:D741)</f>
        <v>21856214.649999999</v>
      </c>
      <c r="E738" s="32">
        <f t="shared" si="289"/>
        <v>601798.30000000005</v>
      </c>
      <c r="F738" s="32">
        <f t="shared" si="289"/>
        <v>1360064.57</v>
      </c>
      <c r="G738" s="32">
        <f t="shared" si="289"/>
        <v>1159210.95</v>
      </c>
      <c r="H738" s="32">
        <f t="shared" si="289"/>
        <v>1072260.3</v>
      </c>
      <c r="I738" s="32">
        <f t="shared" si="289"/>
        <v>2605699.19</v>
      </c>
      <c r="J738" s="32">
        <f t="shared" si="289"/>
        <v>0</v>
      </c>
      <c r="K738" s="34">
        <f t="shared" si="289"/>
        <v>4</v>
      </c>
      <c r="L738" s="32">
        <f t="shared" si="289"/>
        <v>8873212</v>
      </c>
      <c r="M738" s="32">
        <f t="shared" si="289"/>
        <v>0</v>
      </c>
      <c r="N738" s="32">
        <f t="shared" si="289"/>
        <v>0</v>
      </c>
      <c r="O738" s="32">
        <f t="shared" si="289"/>
        <v>0</v>
      </c>
      <c r="P738" s="32">
        <f t="shared" si="289"/>
        <v>0</v>
      </c>
      <c r="Q738" s="32">
        <f t="shared" si="289"/>
        <v>2476.9</v>
      </c>
      <c r="R738" s="32">
        <f t="shared" si="289"/>
        <v>5381264.8700000001</v>
      </c>
      <c r="S738" s="32">
        <f t="shared" si="289"/>
        <v>0</v>
      </c>
      <c r="T738" s="32">
        <f t="shared" si="289"/>
        <v>0</v>
      </c>
      <c r="U738" s="32">
        <f t="shared" si="289"/>
        <v>0</v>
      </c>
      <c r="V738" s="32">
        <f t="shared" si="289"/>
        <v>0</v>
      </c>
      <c r="W738" s="32">
        <f t="shared" si="289"/>
        <v>0</v>
      </c>
      <c r="X738" s="32">
        <f t="shared" si="289"/>
        <v>0</v>
      </c>
      <c r="Y738" s="32">
        <f t="shared" si="289"/>
        <v>0</v>
      </c>
      <c r="Z738" s="32">
        <f t="shared" si="289"/>
        <v>0</v>
      </c>
      <c r="AA738" s="32">
        <f t="shared" si="289"/>
        <v>0</v>
      </c>
      <c r="AB738" s="32">
        <f t="shared" si="289"/>
        <v>0</v>
      </c>
      <c r="AC738" s="32">
        <f t="shared" si="289"/>
        <v>182704.47</v>
      </c>
      <c r="AD738" s="32">
        <f t="shared" si="289"/>
        <v>620000</v>
      </c>
      <c r="AE738" s="32">
        <f t="shared" si="289"/>
        <v>0</v>
      </c>
      <c r="AF738" s="77" t="s">
        <v>801</v>
      </c>
      <c r="AG738" s="77" t="s">
        <v>801</v>
      </c>
      <c r="AH738" s="107" t="s">
        <v>801</v>
      </c>
      <c r="AT738" s="21" t="e">
        <f t="shared" ref="AT738:AT769" si="290">VLOOKUP(C738,AW:AX,2,FALSE)</f>
        <v>#N/A</v>
      </c>
    </row>
    <row r="739" spans="1:46" ht="61.5" x14ac:dyDescent="0.85">
      <c r="A739" s="21">
        <v>1</v>
      </c>
      <c r="B739" s="70">
        <f>SUBTOTAL(103,$A$535:A739)</f>
        <v>201</v>
      </c>
      <c r="C739" s="25" t="s">
        <v>400</v>
      </c>
      <c r="D739" s="32">
        <f t="shared" ref="D739:D741" si="291">E739+F739+G739+H739+I739+J739+L739+N739+P739+R739+T739+U739+V739+W739+X739+Y739+Z739+AA739+AB739+AC739+AD739+AE739</f>
        <v>8993212</v>
      </c>
      <c r="E739" s="32">
        <v>0</v>
      </c>
      <c r="F739" s="32">
        <v>0</v>
      </c>
      <c r="G739" s="32">
        <v>0</v>
      </c>
      <c r="H739" s="32">
        <v>0</v>
      </c>
      <c r="I739" s="32">
        <v>0</v>
      </c>
      <c r="J739" s="32">
        <v>0</v>
      </c>
      <c r="K739" s="34">
        <v>4</v>
      </c>
      <c r="L739" s="32">
        <v>8873212</v>
      </c>
      <c r="M739" s="32">
        <v>0</v>
      </c>
      <c r="N739" s="32">
        <v>0</v>
      </c>
      <c r="O739" s="32">
        <v>0</v>
      </c>
      <c r="P739" s="32">
        <v>0</v>
      </c>
      <c r="Q739" s="32">
        <v>0</v>
      </c>
      <c r="R739" s="32">
        <v>0</v>
      </c>
      <c r="S739" s="32">
        <v>0</v>
      </c>
      <c r="T739" s="32">
        <v>0</v>
      </c>
      <c r="U739" s="32">
        <v>0</v>
      </c>
      <c r="V739" s="32">
        <v>0</v>
      </c>
      <c r="W739" s="32">
        <v>0</v>
      </c>
      <c r="X739" s="32">
        <v>0</v>
      </c>
      <c r="Y739" s="32">
        <v>0</v>
      </c>
      <c r="Z739" s="32">
        <v>0</v>
      </c>
      <c r="AA739" s="32">
        <v>0</v>
      </c>
      <c r="AB739" s="32">
        <v>0</v>
      </c>
      <c r="AC739" s="32">
        <v>0</v>
      </c>
      <c r="AD739" s="32">
        <v>120000</v>
      </c>
      <c r="AE739" s="32">
        <v>0</v>
      </c>
      <c r="AF739" s="35">
        <v>2021</v>
      </c>
      <c r="AG739" s="35">
        <v>2021</v>
      </c>
      <c r="AH739" s="36" t="s">
        <v>275</v>
      </c>
      <c r="AT739" s="21" t="e">
        <f t="shared" si="290"/>
        <v>#N/A</v>
      </c>
    </row>
    <row r="740" spans="1:46" ht="61.5" x14ac:dyDescent="0.85">
      <c r="A740" s="21">
        <v>1</v>
      </c>
      <c r="B740" s="70">
        <f>SUBTOTAL(103,$A$535:A740)</f>
        <v>202</v>
      </c>
      <c r="C740" s="25" t="s">
        <v>401</v>
      </c>
      <c r="D740" s="32">
        <f t="shared" si="291"/>
        <v>7201018.8100000005</v>
      </c>
      <c r="E740" s="32">
        <v>601798.30000000005</v>
      </c>
      <c r="F740" s="32">
        <v>1360064.57</v>
      </c>
      <c r="G740" s="32">
        <v>1159210.95</v>
      </c>
      <c r="H740" s="32">
        <v>1072260.3</v>
      </c>
      <c r="I740" s="32">
        <v>2605699.19</v>
      </c>
      <c r="J740" s="32">
        <v>0</v>
      </c>
      <c r="K740" s="34">
        <v>0</v>
      </c>
      <c r="L740" s="32">
        <v>0</v>
      </c>
      <c r="M740" s="32">
        <v>0</v>
      </c>
      <c r="N740" s="32">
        <v>0</v>
      </c>
      <c r="O740" s="32">
        <v>0</v>
      </c>
      <c r="P740" s="32">
        <v>0</v>
      </c>
      <c r="Q740" s="32">
        <v>0</v>
      </c>
      <c r="R740" s="32">
        <v>0</v>
      </c>
      <c r="S740" s="32">
        <v>0</v>
      </c>
      <c r="T740" s="32">
        <v>0</v>
      </c>
      <c r="U740" s="32">
        <v>0</v>
      </c>
      <c r="V740" s="32">
        <v>0</v>
      </c>
      <c r="W740" s="32">
        <v>0</v>
      </c>
      <c r="X740" s="32">
        <v>0</v>
      </c>
      <c r="Y740" s="32">
        <v>0</v>
      </c>
      <c r="Z740" s="32">
        <v>0</v>
      </c>
      <c r="AA740" s="32">
        <v>0</v>
      </c>
      <c r="AB740" s="32">
        <v>0</v>
      </c>
      <c r="AC740" s="32">
        <f t="shared" ref="AC740" si="292">ROUND((E740+F740+G740+H740+I740+J740)*1.5%,2)</f>
        <v>101985.5</v>
      </c>
      <c r="AD740" s="32">
        <v>300000</v>
      </c>
      <c r="AE740" s="32">
        <v>0</v>
      </c>
      <c r="AF740" s="35">
        <v>2021</v>
      </c>
      <c r="AG740" s="35">
        <v>2021</v>
      </c>
      <c r="AH740" s="36">
        <v>2021</v>
      </c>
      <c r="AT740" s="21" t="e">
        <f t="shared" si="290"/>
        <v>#N/A</v>
      </c>
    </row>
    <row r="741" spans="1:46" ht="61.5" x14ac:dyDescent="0.85">
      <c r="A741" s="21">
        <v>1</v>
      </c>
      <c r="B741" s="70">
        <f>SUBTOTAL(103,$A$535:A741)</f>
        <v>203</v>
      </c>
      <c r="C741" s="25" t="s">
        <v>402</v>
      </c>
      <c r="D741" s="32">
        <f t="shared" si="291"/>
        <v>5661983.8399999999</v>
      </c>
      <c r="E741" s="32">
        <v>0</v>
      </c>
      <c r="F741" s="32">
        <v>0</v>
      </c>
      <c r="G741" s="32">
        <v>0</v>
      </c>
      <c r="H741" s="32">
        <v>0</v>
      </c>
      <c r="I741" s="32">
        <v>0</v>
      </c>
      <c r="J741" s="32">
        <v>0</v>
      </c>
      <c r="K741" s="34">
        <v>0</v>
      </c>
      <c r="L741" s="32">
        <v>0</v>
      </c>
      <c r="M741" s="32">
        <v>0</v>
      </c>
      <c r="N741" s="32">
        <v>0</v>
      </c>
      <c r="O741" s="32">
        <v>0</v>
      </c>
      <c r="P741" s="32">
        <v>0</v>
      </c>
      <c r="Q741" s="32">
        <v>2476.9</v>
      </c>
      <c r="R741" s="32">
        <v>5381264.8700000001</v>
      </c>
      <c r="S741" s="32">
        <v>0</v>
      </c>
      <c r="T741" s="32">
        <v>0</v>
      </c>
      <c r="U741" s="32">
        <v>0</v>
      </c>
      <c r="V741" s="32">
        <v>0</v>
      </c>
      <c r="W741" s="32">
        <v>0</v>
      </c>
      <c r="X741" s="32">
        <v>0</v>
      </c>
      <c r="Y741" s="32">
        <v>0</v>
      </c>
      <c r="Z741" s="32">
        <v>0</v>
      </c>
      <c r="AA741" s="32">
        <v>0</v>
      </c>
      <c r="AB741" s="32">
        <v>0</v>
      </c>
      <c r="AC741" s="32">
        <f t="shared" ref="AC741" si="293">ROUND(R741*1.5%,2)</f>
        <v>80718.97</v>
      </c>
      <c r="AD741" s="32">
        <v>200000</v>
      </c>
      <c r="AE741" s="32">
        <v>0</v>
      </c>
      <c r="AF741" s="35">
        <v>2021</v>
      </c>
      <c r="AG741" s="35">
        <v>2021</v>
      </c>
      <c r="AH741" s="36">
        <v>2021</v>
      </c>
      <c r="AT741" s="21" t="e">
        <f t="shared" si="290"/>
        <v>#N/A</v>
      </c>
    </row>
    <row r="742" spans="1:46" ht="61.5" x14ac:dyDescent="0.85">
      <c r="B742" s="25" t="s">
        <v>867</v>
      </c>
      <c r="C742" s="110"/>
      <c r="D742" s="32">
        <f t="shared" ref="D742:AE742" si="294">SUM(D743:D754)</f>
        <v>51168217.759999998</v>
      </c>
      <c r="E742" s="32">
        <f t="shared" si="294"/>
        <v>0</v>
      </c>
      <c r="F742" s="32">
        <f t="shared" si="294"/>
        <v>0</v>
      </c>
      <c r="G742" s="32">
        <f t="shared" si="294"/>
        <v>0</v>
      </c>
      <c r="H742" s="32">
        <f t="shared" si="294"/>
        <v>0</v>
      </c>
      <c r="I742" s="32">
        <f t="shared" si="294"/>
        <v>0</v>
      </c>
      <c r="J742" s="32">
        <f t="shared" si="294"/>
        <v>0</v>
      </c>
      <c r="K742" s="34">
        <f t="shared" si="294"/>
        <v>1</v>
      </c>
      <c r="L742" s="32">
        <f t="shared" si="294"/>
        <v>2148303</v>
      </c>
      <c r="M742" s="32">
        <f t="shared" si="294"/>
        <v>9401.1</v>
      </c>
      <c r="N742" s="32">
        <f t="shared" si="294"/>
        <v>46482674.640000001</v>
      </c>
      <c r="O742" s="32">
        <f t="shared" si="294"/>
        <v>0</v>
      </c>
      <c r="P742" s="32">
        <f t="shared" si="294"/>
        <v>0</v>
      </c>
      <c r="Q742" s="32">
        <f t="shared" si="294"/>
        <v>0</v>
      </c>
      <c r="R742" s="32">
        <f t="shared" si="294"/>
        <v>0</v>
      </c>
      <c r="S742" s="32">
        <f t="shared" si="294"/>
        <v>0</v>
      </c>
      <c r="T742" s="32">
        <f t="shared" si="294"/>
        <v>0</v>
      </c>
      <c r="U742" s="32">
        <f t="shared" si="294"/>
        <v>0</v>
      </c>
      <c r="V742" s="32">
        <f t="shared" si="294"/>
        <v>0</v>
      </c>
      <c r="W742" s="32">
        <f t="shared" si="294"/>
        <v>0</v>
      </c>
      <c r="X742" s="32">
        <f t="shared" si="294"/>
        <v>0</v>
      </c>
      <c r="Y742" s="32">
        <f t="shared" si="294"/>
        <v>0</v>
      </c>
      <c r="Z742" s="32">
        <f t="shared" si="294"/>
        <v>0</v>
      </c>
      <c r="AA742" s="32">
        <f t="shared" si="294"/>
        <v>0</v>
      </c>
      <c r="AB742" s="32">
        <f t="shared" si="294"/>
        <v>0</v>
      </c>
      <c r="AC742" s="32">
        <f t="shared" si="294"/>
        <v>697240.12000000011</v>
      </c>
      <c r="AD742" s="32">
        <f t="shared" si="294"/>
        <v>1840000</v>
      </c>
      <c r="AE742" s="32">
        <f t="shared" si="294"/>
        <v>0</v>
      </c>
      <c r="AF742" s="77" t="s">
        <v>801</v>
      </c>
      <c r="AG742" s="77" t="s">
        <v>801</v>
      </c>
      <c r="AH742" s="107" t="s">
        <v>801</v>
      </c>
      <c r="AT742" s="21" t="e">
        <f t="shared" si="290"/>
        <v>#N/A</v>
      </c>
    </row>
    <row r="743" spans="1:46" ht="61.5" x14ac:dyDescent="0.85">
      <c r="A743" s="21">
        <v>1</v>
      </c>
      <c r="B743" s="70">
        <f>SUBTOTAL(103,$A$535:A743)</f>
        <v>204</v>
      </c>
      <c r="C743" s="25" t="s">
        <v>654</v>
      </c>
      <c r="D743" s="32">
        <f t="shared" ref="D743:D754" si="295">E743+F743+G743+H743+I743+J743+L743+N743+P743+R743+T743+U743+V743+W743+X743+Y743+Z743+AA743+AB743+AC743+AD743+AE743</f>
        <v>4335833</v>
      </c>
      <c r="E743" s="37">
        <v>0</v>
      </c>
      <c r="F743" s="37">
        <v>0</v>
      </c>
      <c r="G743" s="37">
        <v>0</v>
      </c>
      <c r="H743" s="37">
        <v>0</v>
      </c>
      <c r="I743" s="37">
        <v>0</v>
      </c>
      <c r="J743" s="37">
        <v>0</v>
      </c>
      <c r="K743" s="34">
        <v>0</v>
      </c>
      <c r="L743" s="32">
        <v>0</v>
      </c>
      <c r="M743" s="32">
        <v>773</v>
      </c>
      <c r="N743" s="32">
        <v>4123973.4</v>
      </c>
      <c r="O743" s="32">
        <v>0</v>
      </c>
      <c r="P743" s="32">
        <v>0</v>
      </c>
      <c r="Q743" s="32">
        <v>0</v>
      </c>
      <c r="R743" s="32">
        <v>0</v>
      </c>
      <c r="S743" s="32">
        <v>0</v>
      </c>
      <c r="T743" s="32">
        <v>0</v>
      </c>
      <c r="U743" s="32">
        <v>0</v>
      </c>
      <c r="V743" s="32">
        <v>0</v>
      </c>
      <c r="W743" s="32">
        <v>0</v>
      </c>
      <c r="X743" s="32">
        <v>0</v>
      </c>
      <c r="Y743" s="32">
        <v>0</v>
      </c>
      <c r="Z743" s="32">
        <v>0</v>
      </c>
      <c r="AA743" s="32">
        <v>0</v>
      </c>
      <c r="AB743" s="32">
        <v>0</v>
      </c>
      <c r="AC743" s="32">
        <f t="shared" ref="AC743:AC751" si="296">ROUND(N743*1.5%,2)</f>
        <v>61859.6</v>
      </c>
      <c r="AD743" s="32">
        <v>150000</v>
      </c>
      <c r="AE743" s="32">
        <v>0</v>
      </c>
      <c r="AF743" s="35">
        <v>2021</v>
      </c>
      <c r="AG743" s="35">
        <v>2021</v>
      </c>
      <c r="AH743" s="36">
        <v>2021</v>
      </c>
      <c r="AT743" s="21" t="e">
        <f t="shared" si="290"/>
        <v>#N/A</v>
      </c>
    </row>
    <row r="744" spans="1:46" ht="61.5" x14ac:dyDescent="0.85">
      <c r="A744" s="21">
        <v>1</v>
      </c>
      <c r="B744" s="70">
        <f>SUBTOTAL(103,$A$535:A744)</f>
        <v>205</v>
      </c>
      <c r="C744" s="25" t="s">
        <v>655</v>
      </c>
      <c r="D744" s="32">
        <f t="shared" si="295"/>
        <v>5909484.1499999994</v>
      </c>
      <c r="E744" s="37">
        <v>0</v>
      </c>
      <c r="F744" s="37">
        <v>0</v>
      </c>
      <c r="G744" s="37">
        <v>0</v>
      </c>
      <c r="H744" s="37">
        <v>0</v>
      </c>
      <c r="I744" s="37">
        <v>0</v>
      </c>
      <c r="J744" s="37">
        <v>0</v>
      </c>
      <c r="K744" s="34">
        <v>0</v>
      </c>
      <c r="L744" s="32">
        <v>0</v>
      </c>
      <c r="M744" s="32">
        <v>1050</v>
      </c>
      <c r="N744" s="32">
        <v>5644811.9699999997</v>
      </c>
      <c r="O744" s="32">
        <v>0</v>
      </c>
      <c r="P744" s="32">
        <v>0</v>
      </c>
      <c r="Q744" s="32">
        <v>0</v>
      </c>
      <c r="R744" s="32">
        <v>0</v>
      </c>
      <c r="S744" s="32">
        <v>0</v>
      </c>
      <c r="T744" s="32">
        <v>0</v>
      </c>
      <c r="U744" s="32">
        <v>0</v>
      </c>
      <c r="V744" s="32">
        <v>0</v>
      </c>
      <c r="W744" s="32">
        <v>0</v>
      </c>
      <c r="X744" s="32">
        <v>0</v>
      </c>
      <c r="Y744" s="32">
        <v>0</v>
      </c>
      <c r="Z744" s="32">
        <v>0</v>
      </c>
      <c r="AA744" s="32">
        <v>0</v>
      </c>
      <c r="AB744" s="32">
        <v>0</v>
      </c>
      <c r="AC744" s="32">
        <f t="shared" si="296"/>
        <v>84672.18</v>
      </c>
      <c r="AD744" s="32">
        <v>180000</v>
      </c>
      <c r="AE744" s="32">
        <v>0</v>
      </c>
      <c r="AF744" s="35">
        <v>2021</v>
      </c>
      <c r="AG744" s="35">
        <v>2021</v>
      </c>
      <c r="AH744" s="36">
        <v>2021</v>
      </c>
      <c r="AT744" s="21" t="e">
        <f t="shared" si="290"/>
        <v>#N/A</v>
      </c>
    </row>
    <row r="745" spans="1:46" ht="61.5" x14ac:dyDescent="0.85">
      <c r="A745" s="21">
        <v>1</v>
      </c>
      <c r="B745" s="70">
        <f>SUBTOTAL(103,$A$535:A745)</f>
        <v>206</v>
      </c>
      <c r="C745" s="25" t="s">
        <v>656</v>
      </c>
      <c r="D745" s="32">
        <f t="shared" si="295"/>
        <v>4721220</v>
      </c>
      <c r="E745" s="37">
        <v>0</v>
      </c>
      <c r="F745" s="37">
        <v>0</v>
      </c>
      <c r="G745" s="37">
        <v>0</v>
      </c>
      <c r="H745" s="37">
        <v>0</v>
      </c>
      <c r="I745" s="37">
        <v>0</v>
      </c>
      <c r="J745" s="37">
        <v>0</v>
      </c>
      <c r="K745" s="34">
        <v>0</v>
      </c>
      <c r="L745" s="32">
        <v>0</v>
      </c>
      <c r="M745" s="32">
        <v>945</v>
      </c>
      <c r="N745" s="32">
        <v>4503665.0199999996</v>
      </c>
      <c r="O745" s="32">
        <v>0</v>
      </c>
      <c r="P745" s="32">
        <v>0</v>
      </c>
      <c r="Q745" s="32">
        <v>0</v>
      </c>
      <c r="R745" s="32">
        <v>0</v>
      </c>
      <c r="S745" s="32">
        <v>0</v>
      </c>
      <c r="T745" s="32">
        <v>0</v>
      </c>
      <c r="U745" s="32">
        <v>0</v>
      </c>
      <c r="V745" s="32">
        <v>0</v>
      </c>
      <c r="W745" s="32">
        <v>0</v>
      </c>
      <c r="X745" s="32">
        <v>0</v>
      </c>
      <c r="Y745" s="32">
        <v>0</v>
      </c>
      <c r="Z745" s="32">
        <v>0</v>
      </c>
      <c r="AA745" s="32">
        <v>0</v>
      </c>
      <c r="AB745" s="32">
        <v>0</v>
      </c>
      <c r="AC745" s="32">
        <f t="shared" si="296"/>
        <v>67554.98</v>
      </c>
      <c r="AD745" s="32">
        <v>150000</v>
      </c>
      <c r="AE745" s="32">
        <v>0</v>
      </c>
      <c r="AF745" s="35">
        <v>2021</v>
      </c>
      <c r="AG745" s="35">
        <v>2021</v>
      </c>
      <c r="AH745" s="36">
        <v>2021</v>
      </c>
      <c r="AT745" s="21" t="e">
        <f t="shared" si="290"/>
        <v>#N/A</v>
      </c>
    </row>
    <row r="746" spans="1:46" ht="61.5" x14ac:dyDescent="0.85">
      <c r="A746" s="21">
        <v>1</v>
      </c>
      <c r="B746" s="70">
        <f>SUBTOTAL(103,$A$535:A746)</f>
        <v>207</v>
      </c>
      <c r="C746" s="25" t="s">
        <v>661</v>
      </c>
      <c r="D746" s="32">
        <f t="shared" si="295"/>
        <v>3393650</v>
      </c>
      <c r="E746" s="37">
        <v>0</v>
      </c>
      <c r="F746" s="37">
        <v>0</v>
      </c>
      <c r="G746" s="37">
        <v>0</v>
      </c>
      <c r="H746" s="37">
        <v>0</v>
      </c>
      <c r="I746" s="37">
        <v>0</v>
      </c>
      <c r="J746" s="37">
        <v>0</v>
      </c>
      <c r="K746" s="34">
        <v>0</v>
      </c>
      <c r="L746" s="32">
        <v>0</v>
      </c>
      <c r="M746" s="32">
        <v>650</v>
      </c>
      <c r="N746" s="32">
        <v>3195714.29</v>
      </c>
      <c r="O746" s="32">
        <v>0</v>
      </c>
      <c r="P746" s="32">
        <v>0</v>
      </c>
      <c r="Q746" s="32">
        <v>0</v>
      </c>
      <c r="R746" s="32">
        <v>0</v>
      </c>
      <c r="S746" s="32">
        <v>0</v>
      </c>
      <c r="T746" s="32">
        <v>0</v>
      </c>
      <c r="U746" s="32">
        <v>0</v>
      </c>
      <c r="V746" s="32">
        <v>0</v>
      </c>
      <c r="W746" s="32">
        <v>0</v>
      </c>
      <c r="X746" s="32">
        <v>0</v>
      </c>
      <c r="Y746" s="32">
        <v>0</v>
      </c>
      <c r="Z746" s="32">
        <v>0</v>
      </c>
      <c r="AA746" s="32">
        <v>0</v>
      </c>
      <c r="AB746" s="32">
        <v>0</v>
      </c>
      <c r="AC746" s="32">
        <f t="shared" si="296"/>
        <v>47935.71</v>
      </c>
      <c r="AD746" s="32">
        <v>150000</v>
      </c>
      <c r="AE746" s="32">
        <v>0</v>
      </c>
      <c r="AF746" s="35">
        <v>2021</v>
      </c>
      <c r="AG746" s="35">
        <v>2021</v>
      </c>
      <c r="AH746" s="36">
        <v>2021</v>
      </c>
      <c r="AT746" s="21">
        <f t="shared" si="290"/>
        <v>1</v>
      </c>
    </row>
    <row r="747" spans="1:46" ht="61.5" x14ac:dyDescent="0.85">
      <c r="A747" s="21">
        <v>1</v>
      </c>
      <c r="B747" s="70">
        <f>SUBTOTAL(103,$A$535:A747)</f>
        <v>208</v>
      </c>
      <c r="C747" s="25" t="s">
        <v>662</v>
      </c>
      <c r="D747" s="32">
        <f t="shared" si="295"/>
        <v>5195840</v>
      </c>
      <c r="E747" s="37">
        <v>0</v>
      </c>
      <c r="F747" s="37">
        <v>0</v>
      </c>
      <c r="G747" s="37">
        <v>0</v>
      </c>
      <c r="H747" s="37">
        <v>0</v>
      </c>
      <c r="I747" s="37">
        <v>0</v>
      </c>
      <c r="J747" s="37">
        <v>0</v>
      </c>
      <c r="K747" s="34">
        <v>0</v>
      </c>
      <c r="L747" s="32">
        <v>0</v>
      </c>
      <c r="M747" s="32">
        <v>1040</v>
      </c>
      <c r="N747" s="32">
        <v>4941714.29</v>
      </c>
      <c r="O747" s="32">
        <v>0</v>
      </c>
      <c r="P747" s="32">
        <v>0</v>
      </c>
      <c r="Q747" s="32">
        <v>0</v>
      </c>
      <c r="R747" s="32">
        <v>0</v>
      </c>
      <c r="S747" s="32">
        <v>0</v>
      </c>
      <c r="T747" s="32">
        <v>0</v>
      </c>
      <c r="U747" s="32">
        <v>0</v>
      </c>
      <c r="V747" s="32">
        <v>0</v>
      </c>
      <c r="W747" s="32">
        <v>0</v>
      </c>
      <c r="X747" s="32">
        <v>0</v>
      </c>
      <c r="Y747" s="32">
        <v>0</v>
      </c>
      <c r="Z747" s="32">
        <v>0</v>
      </c>
      <c r="AA747" s="32">
        <v>0</v>
      </c>
      <c r="AB747" s="32">
        <v>0</v>
      </c>
      <c r="AC747" s="32">
        <f t="shared" si="296"/>
        <v>74125.710000000006</v>
      </c>
      <c r="AD747" s="32">
        <v>180000</v>
      </c>
      <c r="AE747" s="32">
        <v>0</v>
      </c>
      <c r="AF747" s="35">
        <v>2021</v>
      </c>
      <c r="AG747" s="35">
        <v>2021</v>
      </c>
      <c r="AH747" s="36">
        <v>2021</v>
      </c>
      <c r="AT747" s="21" t="e">
        <f t="shared" si="290"/>
        <v>#N/A</v>
      </c>
    </row>
    <row r="748" spans="1:46" ht="61.5" x14ac:dyDescent="0.85">
      <c r="A748" s="21">
        <v>1</v>
      </c>
      <c r="B748" s="70">
        <f>SUBTOTAL(103,$A$535:A748)</f>
        <v>209</v>
      </c>
      <c r="C748" s="25" t="s">
        <v>660</v>
      </c>
      <c r="D748" s="32">
        <f t="shared" si="295"/>
        <v>4892077</v>
      </c>
      <c r="E748" s="37">
        <v>0</v>
      </c>
      <c r="F748" s="37">
        <v>0</v>
      </c>
      <c r="G748" s="37">
        <v>0</v>
      </c>
      <c r="H748" s="37">
        <v>0</v>
      </c>
      <c r="I748" s="37">
        <v>0</v>
      </c>
      <c r="J748" s="37">
        <v>0</v>
      </c>
      <c r="K748" s="34">
        <v>0</v>
      </c>
      <c r="L748" s="32">
        <v>0</v>
      </c>
      <c r="M748" s="32">
        <v>937</v>
      </c>
      <c r="N748" s="32">
        <v>4671997.04</v>
      </c>
      <c r="O748" s="32">
        <v>0</v>
      </c>
      <c r="P748" s="32">
        <v>0</v>
      </c>
      <c r="Q748" s="32">
        <v>0</v>
      </c>
      <c r="R748" s="32">
        <v>0</v>
      </c>
      <c r="S748" s="32">
        <v>0</v>
      </c>
      <c r="T748" s="32">
        <v>0</v>
      </c>
      <c r="U748" s="32">
        <v>0</v>
      </c>
      <c r="V748" s="32">
        <v>0</v>
      </c>
      <c r="W748" s="32">
        <v>0</v>
      </c>
      <c r="X748" s="32">
        <v>0</v>
      </c>
      <c r="Y748" s="32">
        <v>0</v>
      </c>
      <c r="Z748" s="32">
        <v>0</v>
      </c>
      <c r="AA748" s="32">
        <v>0</v>
      </c>
      <c r="AB748" s="32">
        <v>0</v>
      </c>
      <c r="AC748" s="32">
        <f t="shared" si="296"/>
        <v>70079.960000000006</v>
      </c>
      <c r="AD748" s="32">
        <v>150000</v>
      </c>
      <c r="AE748" s="32">
        <v>0</v>
      </c>
      <c r="AF748" s="35">
        <v>2021</v>
      </c>
      <c r="AG748" s="35">
        <v>2021</v>
      </c>
      <c r="AH748" s="36">
        <v>2021</v>
      </c>
      <c r="AT748" s="21">
        <f t="shared" si="290"/>
        <v>1</v>
      </c>
    </row>
    <row r="749" spans="1:46" ht="61.5" x14ac:dyDescent="0.85">
      <c r="A749" s="21">
        <v>1</v>
      </c>
      <c r="B749" s="70">
        <f>SUBTOTAL(103,$A$535:A749)</f>
        <v>210</v>
      </c>
      <c r="C749" s="25" t="s">
        <v>651</v>
      </c>
      <c r="D749" s="32">
        <f t="shared" si="295"/>
        <v>2921671.6</v>
      </c>
      <c r="E749" s="37">
        <v>0</v>
      </c>
      <c r="F749" s="37">
        <v>0</v>
      </c>
      <c r="G749" s="37">
        <v>0</v>
      </c>
      <c r="H749" s="37">
        <v>0</v>
      </c>
      <c r="I749" s="37">
        <v>0</v>
      </c>
      <c r="J749" s="37">
        <v>0</v>
      </c>
      <c r="K749" s="34">
        <v>0</v>
      </c>
      <c r="L749" s="32">
        <v>0</v>
      </c>
      <c r="M749" s="32">
        <v>559.6</v>
      </c>
      <c r="N749" s="32">
        <v>2730710.94</v>
      </c>
      <c r="O749" s="32">
        <v>0</v>
      </c>
      <c r="P749" s="32">
        <v>0</v>
      </c>
      <c r="Q749" s="32">
        <v>0</v>
      </c>
      <c r="R749" s="32">
        <v>0</v>
      </c>
      <c r="S749" s="32">
        <v>0</v>
      </c>
      <c r="T749" s="32">
        <v>0</v>
      </c>
      <c r="U749" s="32">
        <v>0</v>
      </c>
      <c r="V749" s="32">
        <v>0</v>
      </c>
      <c r="W749" s="32">
        <v>0</v>
      </c>
      <c r="X749" s="32">
        <v>0</v>
      </c>
      <c r="Y749" s="32">
        <v>0</v>
      </c>
      <c r="Z749" s="32">
        <v>0</v>
      </c>
      <c r="AA749" s="32">
        <v>0</v>
      </c>
      <c r="AB749" s="32">
        <v>0</v>
      </c>
      <c r="AC749" s="32">
        <f t="shared" si="296"/>
        <v>40960.660000000003</v>
      </c>
      <c r="AD749" s="32">
        <v>150000</v>
      </c>
      <c r="AE749" s="32">
        <v>0</v>
      </c>
      <c r="AF749" s="35">
        <v>2021</v>
      </c>
      <c r="AG749" s="35">
        <v>2021</v>
      </c>
      <c r="AH749" s="36">
        <v>2021</v>
      </c>
      <c r="AT749" s="21" t="e">
        <f t="shared" si="290"/>
        <v>#N/A</v>
      </c>
    </row>
    <row r="750" spans="1:46" ht="61.5" x14ac:dyDescent="0.85">
      <c r="A750" s="21">
        <v>1</v>
      </c>
      <c r="B750" s="70">
        <f>SUBTOTAL(103,$A$535:A750)</f>
        <v>211</v>
      </c>
      <c r="C750" s="25" t="s">
        <v>666</v>
      </c>
      <c r="D750" s="32">
        <f t="shared" si="295"/>
        <v>4923403</v>
      </c>
      <c r="E750" s="37">
        <v>0</v>
      </c>
      <c r="F750" s="37">
        <v>0</v>
      </c>
      <c r="G750" s="37">
        <v>0</v>
      </c>
      <c r="H750" s="37">
        <v>0</v>
      </c>
      <c r="I750" s="37">
        <v>0</v>
      </c>
      <c r="J750" s="37">
        <v>0</v>
      </c>
      <c r="K750" s="34">
        <v>0</v>
      </c>
      <c r="L750" s="32">
        <v>0</v>
      </c>
      <c r="M750" s="32">
        <v>943</v>
      </c>
      <c r="N750" s="32">
        <v>4702860.0999999996</v>
      </c>
      <c r="O750" s="32">
        <v>0</v>
      </c>
      <c r="P750" s="32">
        <v>0</v>
      </c>
      <c r="Q750" s="32">
        <v>0</v>
      </c>
      <c r="R750" s="32">
        <v>0</v>
      </c>
      <c r="S750" s="32">
        <v>0</v>
      </c>
      <c r="T750" s="32">
        <v>0</v>
      </c>
      <c r="U750" s="32">
        <v>0</v>
      </c>
      <c r="V750" s="32">
        <v>0</v>
      </c>
      <c r="W750" s="32">
        <v>0</v>
      </c>
      <c r="X750" s="32">
        <v>0</v>
      </c>
      <c r="Y750" s="32">
        <v>0</v>
      </c>
      <c r="Z750" s="32">
        <v>0</v>
      </c>
      <c r="AA750" s="32">
        <v>0</v>
      </c>
      <c r="AB750" s="32">
        <v>0</v>
      </c>
      <c r="AC750" s="32">
        <f t="shared" si="296"/>
        <v>70542.899999999994</v>
      </c>
      <c r="AD750" s="32">
        <v>150000</v>
      </c>
      <c r="AE750" s="32">
        <v>0</v>
      </c>
      <c r="AF750" s="35">
        <v>2021</v>
      </c>
      <c r="AG750" s="35">
        <v>2021</v>
      </c>
      <c r="AH750" s="36">
        <v>2021</v>
      </c>
      <c r="AT750" s="21" t="e">
        <f t="shared" si="290"/>
        <v>#N/A</v>
      </c>
    </row>
    <row r="751" spans="1:46" ht="61.5" x14ac:dyDescent="0.85">
      <c r="A751" s="21">
        <v>1</v>
      </c>
      <c r="B751" s="70">
        <f>SUBTOTAL(103,$A$535:A751)</f>
        <v>212</v>
      </c>
      <c r="C751" s="25" t="s">
        <v>665</v>
      </c>
      <c r="D751" s="32">
        <f t="shared" si="295"/>
        <v>2767130</v>
      </c>
      <c r="E751" s="37">
        <v>0</v>
      </c>
      <c r="F751" s="37">
        <v>0</v>
      </c>
      <c r="G751" s="37">
        <v>0</v>
      </c>
      <c r="H751" s="37">
        <v>0</v>
      </c>
      <c r="I751" s="37">
        <v>0</v>
      </c>
      <c r="J751" s="37">
        <v>0</v>
      </c>
      <c r="K751" s="34">
        <v>0</v>
      </c>
      <c r="L751" s="32">
        <v>0</v>
      </c>
      <c r="M751" s="32">
        <v>530</v>
      </c>
      <c r="N751" s="32">
        <v>2578453.2000000002</v>
      </c>
      <c r="O751" s="32">
        <v>0</v>
      </c>
      <c r="P751" s="32">
        <v>0</v>
      </c>
      <c r="Q751" s="32">
        <v>0</v>
      </c>
      <c r="R751" s="32">
        <v>0</v>
      </c>
      <c r="S751" s="32">
        <v>0</v>
      </c>
      <c r="T751" s="32">
        <v>0</v>
      </c>
      <c r="U751" s="32">
        <v>0</v>
      </c>
      <c r="V751" s="32">
        <v>0</v>
      </c>
      <c r="W751" s="32">
        <v>0</v>
      </c>
      <c r="X751" s="32">
        <v>0</v>
      </c>
      <c r="Y751" s="32">
        <v>0</v>
      </c>
      <c r="Z751" s="32">
        <v>0</v>
      </c>
      <c r="AA751" s="32">
        <v>0</v>
      </c>
      <c r="AB751" s="32">
        <v>0</v>
      </c>
      <c r="AC751" s="32">
        <f t="shared" si="296"/>
        <v>38676.800000000003</v>
      </c>
      <c r="AD751" s="32">
        <v>150000</v>
      </c>
      <c r="AE751" s="32">
        <v>0</v>
      </c>
      <c r="AF751" s="35">
        <v>2021</v>
      </c>
      <c r="AG751" s="35">
        <v>2021</v>
      </c>
      <c r="AH751" s="36">
        <v>2021</v>
      </c>
      <c r="AT751" s="21">
        <f t="shared" si="290"/>
        <v>1</v>
      </c>
    </row>
    <row r="752" spans="1:46" ht="61.5" x14ac:dyDescent="0.85">
      <c r="A752" s="21">
        <v>1</v>
      </c>
      <c r="B752" s="70">
        <f>SUBTOTAL(103,$A$535:A752)</f>
        <v>213</v>
      </c>
      <c r="C752" s="25" t="s">
        <v>670</v>
      </c>
      <c r="D752" s="32">
        <f t="shared" si="295"/>
        <v>2248303</v>
      </c>
      <c r="E752" s="37">
        <v>0</v>
      </c>
      <c r="F752" s="37">
        <v>0</v>
      </c>
      <c r="G752" s="37">
        <v>0</v>
      </c>
      <c r="H752" s="37">
        <v>0</v>
      </c>
      <c r="I752" s="37">
        <v>0</v>
      </c>
      <c r="J752" s="37">
        <v>0</v>
      </c>
      <c r="K752" s="34">
        <v>1</v>
      </c>
      <c r="L752" s="32">
        <v>2148303</v>
      </c>
      <c r="M752" s="32">
        <v>0</v>
      </c>
      <c r="N752" s="32">
        <v>0</v>
      </c>
      <c r="O752" s="32">
        <v>0</v>
      </c>
      <c r="P752" s="32">
        <v>0</v>
      </c>
      <c r="Q752" s="32">
        <v>0</v>
      </c>
      <c r="R752" s="32">
        <v>0</v>
      </c>
      <c r="S752" s="32">
        <v>0</v>
      </c>
      <c r="T752" s="32">
        <v>0</v>
      </c>
      <c r="U752" s="32">
        <v>0</v>
      </c>
      <c r="V752" s="32">
        <v>0</v>
      </c>
      <c r="W752" s="32">
        <v>0</v>
      </c>
      <c r="X752" s="32">
        <v>0</v>
      </c>
      <c r="Y752" s="32">
        <v>0</v>
      </c>
      <c r="Z752" s="32">
        <v>0</v>
      </c>
      <c r="AA752" s="32">
        <v>0</v>
      </c>
      <c r="AB752" s="32">
        <v>0</v>
      </c>
      <c r="AC752" s="32">
        <v>0</v>
      </c>
      <c r="AD752" s="32">
        <v>100000</v>
      </c>
      <c r="AE752" s="32">
        <v>0</v>
      </c>
      <c r="AF752" s="35">
        <v>2021</v>
      </c>
      <c r="AG752" s="35">
        <v>2021</v>
      </c>
      <c r="AH752" s="36" t="s">
        <v>275</v>
      </c>
      <c r="AT752" s="21" t="e">
        <f t="shared" si="290"/>
        <v>#N/A</v>
      </c>
    </row>
    <row r="753" spans="1:46" ht="61.5" x14ac:dyDescent="0.85">
      <c r="A753" s="21">
        <v>1</v>
      </c>
      <c r="B753" s="70">
        <f>SUBTOTAL(103,$A$535:A753)</f>
        <v>214</v>
      </c>
      <c r="C753" s="25" t="s">
        <v>677</v>
      </c>
      <c r="D753" s="32">
        <f t="shared" si="295"/>
        <v>5495600.0099999998</v>
      </c>
      <c r="E753" s="37">
        <v>0</v>
      </c>
      <c r="F753" s="37">
        <v>0</v>
      </c>
      <c r="G753" s="37">
        <v>0</v>
      </c>
      <c r="H753" s="37">
        <v>0</v>
      </c>
      <c r="I753" s="37">
        <v>0</v>
      </c>
      <c r="J753" s="37">
        <v>0</v>
      </c>
      <c r="K753" s="34">
        <v>0</v>
      </c>
      <c r="L753" s="32">
        <v>0</v>
      </c>
      <c r="M753" s="32">
        <v>1100</v>
      </c>
      <c r="N753" s="32">
        <v>5237044.34</v>
      </c>
      <c r="O753" s="32">
        <v>0</v>
      </c>
      <c r="P753" s="32">
        <v>0</v>
      </c>
      <c r="Q753" s="32">
        <v>0</v>
      </c>
      <c r="R753" s="32">
        <v>0</v>
      </c>
      <c r="S753" s="32">
        <v>0</v>
      </c>
      <c r="T753" s="32">
        <v>0</v>
      </c>
      <c r="U753" s="32">
        <v>0</v>
      </c>
      <c r="V753" s="32">
        <v>0</v>
      </c>
      <c r="W753" s="32">
        <v>0</v>
      </c>
      <c r="X753" s="32">
        <v>0</v>
      </c>
      <c r="Y753" s="32">
        <v>0</v>
      </c>
      <c r="Z753" s="32">
        <v>0</v>
      </c>
      <c r="AA753" s="32">
        <v>0</v>
      </c>
      <c r="AB753" s="32">
        <v>0</v>
      </c>
      <c r="AC753" s="32">
        <f t="shared" ref="AC753:AC754" si="297">ROUND(N753*1.5%,2)</f>
        <v>78555.67</v>
      </c>
      <c r="AD753" s="32">
        <v>180000</v>
      </c>
      <c r="AE753" s="32">
        <v>0</v>
      </c>
      <c r="AF753" s="35">
        <v>2021</v>
      </c>
      <c r="AG753" s="35">
        <v>2021</v>
      </c>
      <c r="AH753" s="36">
        <v>2021</v>
      </c>
      <c r="AT753" s="21" t="e">
        <f t="shared" si="290"/>
        <v>#N/A</v>
      </c>
    </row>
    <row r="754" spans="1:46" ht="61.5" x14ac:dyDescent="0.85">
      <c r="A754" s="21">
        <v>1</v>
      </c>
      <c r="B754" s="70">
        <f>SUBTOTAL(103,$A$535:A754)</f>
        <v>215</v>
      </c>
      <c r="C754" s="25" t="s">
        <v>668</v>
      </c>
      <c r="D754" s="32">
        <f t="shared" si="295"/>
        <v>4364006</v>
      </c>
      <c r="E754" s="37">
        <v>0</v>
      </c>
      <c r="F754" s="37">
        <v>0</v>
      </c>
      <c r="G754" s="37">
        <v>0</v>
      </c>
      <c r="H754" s="37">
        <v>0</v>
      </c>
      <c r="I754" s="37">
        <v>0</v>
      </c>
      <c r="J754" s="37">
        <v>0</v>
      </c>
      <c r="K754" s="34">
        <v>0</v>
      </c>
      <c r="L754" s="32">
        <v>0</v>
      </c>
      <c r="M754" s="32">
        <v>873.5</v>
      </c>
      <c r="N754" s="32">
        <v>4151730.05</v>
      </c>
      <c r="O754" s="32">
        <v>0</v>
      </c>
      <c r="P754" s="32">
        <v>0</v>
      </c>
      <c r="Q754" s="32">
        <v>0</v>
      </c>
      <c r="R754" s="32">
        <v>0</v>
      </c>
      <c r="S754" s="32">
        <v>0</v>
      </c>
      <c r="T754" s="32">
        <v>0</v>
      </c>
      <c r="U754" s="32">
        <v>0</v>
      </c>
      <c r="V754" s="32">
        <v>0</v>
      </c>
      <c r="W754" s="32">
        <v>0</v>
      </c>
      <c r="X754" s="32">
        <v>0</v>
      </c>
      <c r="Y754" s="32">
        <v>0</v>
      </c>
      <c r="Z754" s="32">
        <v>0</v>
      </c>
      <c r="AA754" s="32">
        <v>0</v>
      </c>
      <c r="AB754" s="32">
        <v>0</v>
      </c>
      <c r="AC754" s="32">
        <f t="shared" si="297"/>
        <v>62275.95</v>
      </c>
      <c r="AD754" s="32">
        <v>150000</v>
      </c>
      <c r="AE754" s="32">
        <v>0</v>
      </c>
      <c r="AF754" s="35">
        <v>2021</v>
      </c>
      <c r="AG754" s="35">
        <v>2021</v>
      </c>
      <c r="AH754" s="36">
        <v>2021</v>
      </c>
      <c r="AT754" s="21" t="e">
        <f t="shared" si="290"/>
        <v>#N/A</v>
      </c>
    </row>
    <row r="755" spans="1:46" ht="61.5" x14ac:dyDescent="0.85">
      <c r="B755" s="25" t="s">
        <v>868</v>
      </c>
      <c r="C755" s="25"/>
      <c r="D755" s="32">
        <f t="shared" ref="D755:AE755" si="298">SUM(D756:D757)</f>
        <v>10075097.600000001</v>
      </c>
      <c r="E755" s="32">
        <f t="shared" si="298"/>
        <v>0</v>
      </c>
      <c r="F755" s="32">
        <f t="shared" si="298"/>
        <v>0</v>
      </c>
      <c r="G755" s="32">
        <f t="shared" si="298"/>
        <v>0</v>
      </c>
      <c r="H755" s="32">
        <f t="shared" si="298"/>
        <v>0</v>
      </c>
      <c r="I755" s="32">
        <f t="shared" si="298"/>
        <v>0</v>
      </c>
      <c r="J755" s="32">
        <f t="shared" si="298"/>
        <v>0</v>
      </c>
      <c r="K755" s="34">
        <f t="shared" si="298"/>
        <v>0</v>
      </c>
      <c r="L755" s="32">
        <f t="shared" si="298"/>
        <v>0</v>
      </c>
      <c r="M755" s="32">
        <f t="shared" si="298"/>
        <v>1978.1</v>
      </c>
      <c r="N755" s="32">
        <f t="shared" si="298"/>
        <v>9601081.379999999</v>
      </c>
      <c r="O755" s="32">
        <f t="shared" si="298"/>
        <v>0</v>
      </c>
      <c r="P755" s="32">
        <f t="shared" si="298"/>
        <v>0</v>
      </c>
      <c r="Q755" s="32">
        <f t="shared" si="298"/>
        <v>0</v>
      </c>
      <c r="R755" s="32">
        <f t="shared" si="298"/>
        <v>0</v>
      </c>
      <c r="S755" s="32">
        <f t="shared" si="298"/>
        <v>0</v>
      </c>
      <c r="T755" s="32">
        <f t="shared" si="298"/>
        <v>0</v>
      </c>
      <c r="U755" s="32">
        <f t="shared" si="298"/>
        <v>0</v>
      </c>
      <c r="V755" s="32">
        <f t="shared" si="298"/>
        <v>0</v>
      </c>
      <c r="W755" s="32">
        <f t="shared" si="298"/>
        <v>0</v>
      </c>
      <c r="X755" s="32">
        <f t="shared" si="298"/>
        <v>0</v>
      </c>
      <c r="Y755" s="32">
        <f t="shared" si="298"/>
        <v>0</v>
      </c>
      <c r="Z755" s="32">
        <f t="shared" si="298"/>
        <v>0</v>
      </c>
      <c r="AA755" s="32">
        <f t="shared" si="298"/>
        <v>0</v>
      </c>
      <c r="AB755" s="32">
        <f t="shared" si="298"/>
        <v>0</v>
      </c>
      <c r="AC755" s="32">
        <f t="shared" si="298"/>
        <v>144016.22</v>
      </c>
      <c r="AD755" s="32">
        <f t="shared" si="298"/>
        <v>330000</v>
      </c>
      <c r="AE755" s="32">
        <f t="shared" si="298"/>
        <v>0</v>
      </c>
      <c r="AF755" s="77" t="s">
        <v>801</v>
      </c>
      <c r="AG755" s="77" t="s">
        <v>801</v>
      </c>
      <c r="AH755" s="107" t="s">
        <v>801</v>
      </c>
      <c r="AT755" s="21" t="e">
        <f t="shared" si="290"/>
        <v>#N/A</v>
      </c>
    </row>
    <row r="756" spans="1:46" ht="61.5" x14ac:dyDescent="0.85">
      <c r="A756" s="21">
        <v>1</v>
      </c>
      <c r="B756" s="70">
        <f>SUBTOTAL(103,$A$535:A756)</f>
        <v>216</v>
      </c>
      <c r="C756" s="25" t="s">
        <v>686</v>
      </c>
      <c r="D756" s="32">
        <f t="shared" ref="D756:D757" si="299">E756+F756+G756+H756+I756+J756+L756+N756+P756+R756+T756+U756+V756+W756+X756+Y756+Z756+AA756+AB756+AC756+AD756+AE756</f>
        <v>5608010</v>
      </c>
      <c r="E756" s="37">
        <v>0</v>
      </c>
      <c r="F756" s="37">
        <v>0</v>
      </c>
      <c r="G756" s="37">
        <v>0</v>
      </c>
      <c r="H756" s="37">
        <v>0</v>
      </c>
      <c r="I756" s="37">
        <v>0</v>
      </c>
      <c r="J756" s="37">
        <v>0</v>
      </c>
      <c r="K756" s="34">
        <v>0</v>
      </c>
      <c r="L756" s="32">
        <v>0</v>
      </c>
      <c r="M756" s="32">
        <v>1122.5</v>
      </c>
      <c r="N756" s="32">
        <v>5347793.0999999996</v>
      </c>
      <c r="O756" s="32">
        <v>0</v>
      </c>
      <c r="P756" s="32">
        <v>0</v>
      </c>
      <c r="Q756" s="32">
        <v>0</v>
      </c>
      <c r="R756" s="32">
        <v>0</v>
      </c>
      <c r="S756" s="32">
        <v>0</v>
      </c>
      <c r="T756" s="32">
        <v>0</v>
      </c>
      <c r="U756" s="32">
        <v>0</v>
      </c>
      <c r="V756" s="32">
        <v>0</v>
      </c>
      <c r="W756" s="32">
        <v>0</v>
      </c>
      <c r="X756" s="32">
        <v>0</v>
      </c>
      <c r="Y756" s="32">
        <v>0</v>
      </c>
      <c r="Z756" s="32">
        <v>0</v>
      </c>
      <c r="AA756" s="32">
        <v>0</v>
      </c>
      <c r="AB756" s="32">
        <v>0</v>
      </c>
      <c r="AC756" s="32">
        <f t="shared" ref="AC756:AC757" si="300">ROUND(N756*1.5%,2)</f>
        <v>80216.899999999994</v>
      </c>
      <c r="AD756" s="32">
        <v>180000</v>
      </c>
      <c r="AE756" s="32">
        <v>0</v>
      </c>
      <c r="AF756" s="35">
        <v>2021</v>
      </c>
      <c r="AG756" s="35">
        <v>2021</v>
      </c>
      <c r="AH756" s="36">
        <v>2021</v>
      </c>
      <c r="AT756" s="21" t="e">
        <f t="shared" si="290"/>
        <v>#N/A</v>
      </c>
    </row>
    <row r="757" spans="1:46" ht="61.5" x14ac:dyDescent="0.85">
      <c r="A757" s="21">
        <v>1</v>
      </c>
      <c r="B757" s="70">
        <f>SUBTOTAL(103,$A$535:A757)</f>
        <v>217</v>
      </c>
      <c r="C757" s="25" t="s">
        <v>683</v>
      </c>
      <c r="D757" s="32">
        <f t="shared" si="299"/>
        <v>4467087.6000000006</v>
      </c>
      <c r="E757" s="37">
        <v>0</v>
      </c>
      <c r="F757" s="37">
        <v>0</v>
      </c>
      <c r="G757" s="37">
        <v>0</v>
      </c>
      <c r="H757" s="37">
        <v>0</v>
      </c>
      <c r="I757" s="37">
        <v>0</v>
      </c>
      <c r="J757" s="37">
        <v>0</v>
      </c>
      <c r="K757" s="34">
        <v>0</v>
      </c>
      <c r="L757" s="32">
        <v>0</v>
      </c>
      <c r="M757" s="32">
        <v>855.6</v>
      </c>
      <c r="N757" s="32">
        <v>4253288.28</v>
      </c>
      <c r="O757" s="32">
        <v>0</v>
      </c>
      <c r="P757" s="32">
        <v>0</v>
      </c>
      <c r="Q757" s="32">
        <v>0</v>
      </c>
      <c r="R757" s="32">
        <v>0</v>
      </c>
      <c r="S757" s="32">
        <v>0</v>
      </c>
      <c r="T757" s="32">
        <v>0</v>
      </c>
      <c r="U757" s="32">
        <v>0</v>
      </c>
      <c r="V757" s="32">
        <v>0</v>
      </c>
      <c r="W757" s="32">
        <v>0</v>
      </c>
      <c r="X757" s="32">
        <v>0</v>
      </c>
      <c r="Y757" s="32">
        <v>0</v>
      </c>
      <c r="Z757" s="32">
        <v>0</v>
      </c>
      <c r="AA757" s="32">
        <v>0</v>
      </c>
      <c r="AB757" s="32">
        <v>0</v>
      </c>
      <c r="AC757" s="32">
        <f t="shared" si="300"/>
        <v>63799.32</v>
      </c>
      <c r="AD757" s="32">
        <v>150000</v>
      </c>
      <c r="AE757" s="32">
        <v>0</v>
      </c>
      <c r="AF757" s="35">
        <v>2021</v>
      </c>
      <c r="AG757" s="35">
        <v>2021</v>
      </c>
      <c r="AH757" s="36">
        <v>2021</v>
      </c>
      <c r="AT757" s="21" t="e">
        <f t="shared" si="290"/>
        <v>#N/A</v>
      </c>
    </row>
    <row r="758" spans="1:46" ht="61.5" x14ac:dyDescent="0.85">
      <c r="B758" s="25" t="s">
        <v>869</v>
      </c>
      <c r="C758" s="25"/>
      <c r="D758" s="32">
        <f t="shared" ref="D758:AE758" si="301">SUM(D759:D762)</f>
        <v>13069363.829999998</v>
      </c>
      <c r="E758" s="32">
        <f t="shared" si="301"/>
        <v>0</v>
      </c>
      <c r="F758" s="32">
        <f t="shared" si="301"/>
        <v>0</v>
      </c>
      <c r="G758" s="32">
        <f t="shared" si="301"/>
        <v>0</v>
      </c>
      <c r="H758" s="32">
        <f t="shared" si="301"/>
        <v>0</v>
      </c>
      <c r="I758" s="32">
        <f t="shared" si="301"/>
        <v>0</v>
      </c>
      <c r="J758" s="32">
        <f t="shared" si="301"/>
        <v>0</v>
      </c>
      <c r="K758" s="34">
        <f t="shared" si="301"/>
        <v>0</v>
      </c>
      <c r="L758" s="32">
        <f t="shared" si="301"/>
        <v>0</v>
      </c>
      <c r="M758" s="32">
        <f t="shared" si="301"/>
        <v>2503.23</v>
      </c>
      <c r="N758" s="32">
        <f t="shared" si="301"/>
        <v>12314644.17</v>
      </c>
      <c r="O758" s="32">
        <f t="shared" si="301"/>
        <v>0</v>
      </c>
      <c r="P758" s="32">
        <f t="shared" si="301"/>
        <v>0</v>
      </c>
      <c r="Q758" s="32">
        <f t="shared" si="301"/>
        <v>0</v>
      </c>
      <c r="R758" s="32">
        <f t="shared" si="301"/>
        <v>0</v>
      </c>
      <c r="S758" s="32">
        <f t="shared" si="301"/>
        <v>0</v>
      </c>
      <c r="T758" s="32">
        <f t="shared" si="301"/>
        <v>0</v>
      </c>
      <c r="U758" s="32">
        <f t="shared" si="301"/>
        <v>0</v>
      </c>
      <c r="V758" s="32">
        <f t="shared" si="301"/>
        <v>0</v>
      </c>
      <c r="W758" s="32">
        <f t="shared" si="301"/>
        <v>0</v>
      </c>
      <c r="X758" s="32">
        <f t="shared" si="301"/>
        <v>0</v>
      </c>
      <c r="Y758" s="32">
        <f t="shared" si="301"/>
        <v>0</v>
      </c>
      <c r="Z758" s="32">
        <f t="shared" si="301"/>
        <v>0</v>
      </c>
      <c r="AA758" s="32">
        <f t="shared" si="301"/>
        <v>0</v>
      </c>
      <c r="AB758" s="32">
        <f t="shared" si="301"/>
        <v>0</v>
      </c>
      <c r="AC758" s="32">
        <f t="shared" si="301"/>
        <v>184719.65999999997</v>
      </c>
      <c r="AD758" s="32">
        <f t="shared" si="301"/>
        <v>570000</v>
      </c>
      <c r="AE758" s="32">
        <f t="shared" si="301"/>
        <v>0</v>
      </c>
      <c r="AF758" s="77" t="s">
        <v>801</v>
      </c>
      <c r="AG758" s="77" t="s">
        <v>801</v>
      </c>
      <c r="AH758" s="107" t="s">
        <v>801</v>
      </c>
      <c r="AT758" s="21" t="e">
        <f t="shared" si="290"/>
        <v>#N/A</v>
      </c>
    </row>
    <row r="759" spans="1:46" ht="61.5" x14ac:dyDescent="0.85">
      <c r="A759" s="21">
        <v>1</v>
      </c>
      <c r="B759" s="70">
        <f>SUBTOTAL(103,$A$535:A759)</f>
        <v>218</v>
      </c>
      <c r="C759" s="25" t="s">
        <v>691</v>
      </c>
      <c r="D759" s="32">
        <f t="shared" ref="D759:D762" si="302">E759+F759+G759+H759+I759+J759+L759+N759+P759+R759+T759+U759+V759+W759+X759+Y759+Z759+AA759+AB759+AC759+AD759+AE759</f>
        <v>1801245</v>
      </c>
      <c r="E759" s="37">
        <v>0</v>
      </c>
      <c r="F759" s="37">
        <v>0</v>
      </c>
      <c r="G759" s="37">
        <v>0</v>
      </c>
      <c r="H759" s="37">
        <v>0</v>
      </c>
      <c r="I759" s="37">
        <v>0</v>
      </c>
      <c r="J759" s="37">
        <v>0</v>
      </c>
      <c r="K759" s="34">
        <v>0</v>
      </c>
      <c r="L759" s="32">
        <v>0</v>
      </c>
      <c r="M759" s="32">
        <v>345</v>
      </c>
      <c r="N759" s="32">
        <v>1656399.01</v>
      </c>
      <c r="O759" s="32">
        <v>0</v>
      </c>
      <c r="P759" s="32">
        <v>0</v>
      </c>
      <c r="Q759" s="32">
        <v>0</v>
      </c>
      <c r="R759" s="32">
        <v>0</v>
      </c>
      <c r="S759" s="32">
        <v>0</v>
      </c>
      <c r="T759" s="32">
        <v>0</v>
      </c>
      <c r="U759" s="32">
        <v>0</v>
      </c>
      <c r="V759" s="32">
        <v>0</v>
      </c>
      <c r="W759" s="32">
        <v>0</v>
      </c>
      <c r="X759" s="32">
        <v>0</v>
      </c>
      <c r="Y759" s="32">
        <v>0</v>
      </c>
      <c r="Z759" s="32">
        <v>0</v>
      </c>
      <c r="AA759" s="32">
        <v>0</v>
      </c>
      <c r="AB759" s="32">
        <v>0</v>
      </c>
      <c r="AC759" s="32">
        <f t="shared" ref="AC759:AC762" si="303">ROUND(N759*1.5%,2)</f>
        <v>24845.99</v>
      </c>
      <c r="AD759" s="32">
        <v>120000</v>
      </c>
      <c r="AE759" s="32">
        <v>0</v>
      </c>
      <c r="AF759" s="35">
        <v>2021</v>
      </c>
      <c r="AG759" s="35">
        <v>2021</v>
      </c>
      <c r="AH759" s="36">
        <v>2021</v>
      </c>
      <c r="AT759" s="21" t="e">
        <f t="shared" si="290"/>
        <v>#N/A</v>
      </c>
    </row>
    <row r="760" spans="1:46" ht="61.5" x14ac:dyDescent="0.85">
      <c r="A760" s="21">
        <v>1</v>
      </c>
      <c r="B760" s="70">
        <f>SUBTOTAL(103,$A$535:A760)</f>
        <v>219</v>
      </c>
      <c r="C760" s="25" t="s">
        <v>692</v>
      </c>
      <c r="D760" s="32">
        <f t="shared" si="302"/>
        <v>4223945.63</v>
      </c>
      <c r="E760" s="37">
        <v>0</v>
      </c>
      <c r="F760" s="37">
        <v>0</v>
      </c>
      <c r="G760" s="37">
        <v>0</v>
      </c>
      <c r="H760" s="37">
        <v>0</v>
      </c>
      <c r="I760" s="37">
        <v>0</v>
      </c>
      <c r="J760" s="37">
        <v>0</v>
      </c>
      <c r="K760" s="34">
        <v>0</v>
      </c>
      <c r="L760" s="32">
        <v>0</v>
      </c>
      <c r="M760" s="32">
        <v>809.03</v>
      </c>
      <c r="N760" s="32">
        <v>4013739.54</v>
      </c>
      <c r="O760" s="32">
        <v>0</v>
      </c>
      <c r="P760" s="32">
        <v>0</v>
      </c>
      <c r="Q760" s="32">
        <v>0</v>
      </c>
      <c r="R760" s="32">
        <v>0</v>
      </c>
      <c r="S760" s="32">
        <v>0</v>
      </c>
      <c r="T760" s="32">
        <v>0</v>
      </c>
      <c r="U760" s="32">
        <v>0</v>
      </c>
      <c r="V760" s="32">
        <v>0</v>
      </c>
      <c r="W760" s="32">
        <v>0</v>
      </c>
      <c r="X760" s="32">
        <v>0</v>
      </c>
      <c r="Y760" s="32">
        <v>0</v>
      </c>
      <c r="Z760" s="32">
        <v>0</v>
      </c>
      <c r="AA760" s="32">
        <v>0</v>
      </c>
      <c r="AB760" s="32">
        <v>0</v>
      </c>
      <c r="AC760" s="32">
        <f t="shared" si="303"/>
        <v>60206.09</v>
      </c>
      <c r="AD760" s="32">
        <v>150000</v>
      </c>
      <c r="AE760" s="32">
        <v>0</v>
      </c>
      <c r="AF760" s="35">
        <v>2021</v>
      </c>
      <c r="AG760" s="35">
        <v>2021</v>
      </c>
      <c r="AH760" s="36">
        <v>2021</v>
      </c>
      <c r="AT760" s="21" t="e">
        <f t="shared" si="290"/>
        <v>#N/A</v>
      </c>
    </row>
    <row r="761" spans="1:46" ht="61.5" x14ac:dyDescent="0.85">
      <c r="A761" s="21">
        <v>1</v>
      </c>
      <c r="B761" s="70">
        <f>SUBTOTAL(103,$A$535:A761)</f>
        <v>220</v>
      </c>
      <c r="C761" s="25" t="s">
        <v>693</v>
      </c>
      <c r="D761" s="32">
        <f t="shared" si="302"/>
        <v>3905308</v>
      </c>
      <c r="E761" s="37">
        <v>0</v>
      </c>
      <c r="F761" s="37">
        <v>0</v>
      </c>
      <c r="G761" s="37">
        <v>0</v>
      </c>
      <c r="H761" s="37">
        <v>0</v>
      </c>
      <c r="I761" s="37">
        <v>0</v>
      </c>
      <c r="J761" s="37">
        <v>0</v>
      </c>
      <c r="K761" s="34">
        <v>0</v>
      </c>
      <c r="L761" s="32">
        <v>0</v>
      </c>
      <c r="M761" s="32">
        <v>748</v>
      </c>
      <c r="N761" s="32">
        <v>3699810.84</v>
      </c>
      <c r="O761" s="32">
        <v>0</v>
      </c>
      <c r="P761" s="32">
        <v>0</v>
      </c>
      <c r="Q761" s="32">
        <v>0</v>
      </c>
      <c r="R761" s="32">
        <v>0</v>
      </c>
      <c r="S761" s="32">
        <v>0</v>
      </c>
      <c r="T761" s="32">
        <v>0</v>
      </c>
      <c r="U761" s="32">
        <v>0</v>
      </c>
      <c r="V761" s="32">
        <v>0</v>
      </c>
      <c r="W761" s="32">
        <v>0</v>
      </c>
      <c r="X761" s="32">
        <v>0</v>
      </c>
      <c r="Y761" s="32">
        <v>0</v>
      </c>
      <c r="Z761" s="32">
        <v>0</v>
      </c>
      <c r="AA761" s="32">
        <v>0</v>
      </c>
      <c r="AB761" s="32">
        <v>0</v>
      </c>
      <c r="AC761" s="32">
        <f t="shared" si="303"/>
        <v>55497.16</v>
      </c>
      <c r="AD761" s="32">
        <v>150000</v>
      </c>
      <c r="AE761" s="32">
        <v>0</v>
      </c>
      <c r="AF761" s="35">
        <v>2021</v>
      </c>
      <c r="AG761" s="35">
        <v>2021</v>
      </c>
      <c r="AH761" s="36">
        <v>2021</v>
      </c>
      <c r="AT761" s="21" t="e">
        <f t="shared" si="290"/>
        <v>#N/A</v>
      </c>
    </row>
    <row r="762" spans="1:46" ht="61.5" x14ac:dyDescent="0.85">
      <c r="A762" s="21">
        <v>1</v>
      </c>
      <c r="B762" s="70">
        <f>SUBTOTAL(103,$A$535:A762)</f>
        <v>221</v>
      </c>
      <c r="C762" s="25" t="s">
        <v>690</v>
      </c>
      <c r="D762" s="32">
        <f t="shared" si="302"/>
        <v>3138865.1999999997</v>
      </c>
      <c r="E762" s="37">
        <v>0</v>
      </c>
      <c r="F762" s="37">
        <v>0</v>
      </c>
      <c r="G762" s="37">
        <v>0</v>
      </c>
      <c r="H762" s="37">
        <v>0</v>
      </c>
      <c r="I762" s="37">
        <v>0</v>
      </c>
      <c r="J762" s="37">
        <v>0</v>
      </c>
      <c r="K762" s="34">
        <v>0</v>
      </c>
      <c r="L762" s="32">
        <v>0</v>
      </c>
      <c r="M762" s="32">
        <v>601.20000000000005</v>
      </c>
      <c r="N762" s="32">
        <v>2944694.78</v>
      </c>
      <c r="O762" s="32">
        <v>0</v>
      </c>
      <c r="P762" s="32">
        <v>0</v>
      </c>
      <c r="Q762" s="32">
        <v>0</v>
      </c>
      <c r="R762" s="32">
        <v>0</v>
      </c>
      <c r="S762" s="32">
        <v>0</v>
      </c>
      <c r="T762" s="32">
        <v>0</v>
      </c>
      <c r="U762" s="32">
        <v>0</v>
      </c>
      <c r="V762" s="32">
        <v>0</v>
      </c>
      <c r="W762" s="32">
        <v>0</v>
      </c>
      <c r="X762" s="32">
        <v>0</v>
      </c>
      <c r="Y762" s="32">
        <v>0</v>
      </c>
      <c r="Z762" s="32">
        <v>0</v>
      </c>
      <c r="AA762" s="32">
        <v>0</v>
      </c>
      <c r="AB762" s="32">
        <v>0</v>
      </c>
      <c r="AC762" s="32">
        <f t="shared" si="303"/>
        <v>44170.42</v>
      </c>
      <c r="AD762" s="32">
        <v>150000</v>
      </c>
      <c r="AE762" s="32">
        <v>0</v>
      </c>
      <c r="AF762" s="35">
        <v>2021</v>
      </c>
      <c r="AG762" s="35">
        <v>2021</v>
      </c>
      <c r="AH762" s="36">
        <v>2021</v>
      </c>
      <c r="AT762" s="21" t="e">
        <f t="shared" si="290"/>
        <v>#N/A</v>
      </c>
    </row>
    <row r="763" spans="1:46" ht="61.5" x14ac:dyDescent="0.85">
      <c r="B763" s="25" t="s">
        <v>870</v>
      </c>
      <c r="C763" s="25"/>
      <c r="D763" s="32">
        <f t="shared" ref="D763:AE763" si="304">SUM(D764:D765)</f>
        <v>8160423</v>
      </c>
      <c r="E763" s="32">
        <f t="shared" si="304"/>
        <v>0</v>
      </c>
      <c r="F763" s="32">
        <f t="shared" si="304"/>
        <v>0</v>
      </c>
      <c r="G763" s="32">
        <f t="shared" si="304"/>
        <v>0</v>
      </c>
      <c r="H763" s="32">
        <f t="shared" si="304"/>
        <v>0</v>
      </c>
      <c r="I763" s="32">
        <f t="shared" si="304"/>
        <v>0</v>
      </c>
      <c r="J763" s="32">
        <f t="shared" si="304"/>
        <v>0</v>
      </c>
      <c r="K763" s="34">
        <f t="shared" si="304"/>
        <v>0</v>
      </c>
      <c r="L763" s="32">
        <f t="shared" si="304"/>
        <v>0</v>
      </c>
      <c r="M763" s="32">
        <f t="shared" si="304"/>
        <v>1563</v>
      </c>
      <c r="N763" s="32">
        <f t="shared" si="304"/>
        <v>7744259.1199999992</v>
      </c>
      <c r="O763" s="32">
        <f t="shared" si="304"/>
        <v>0</v>
      </c>
      <c r="P763" s="32">
        <f t="shared" si="304"/>
        <v>0</v>
      </c>
      <c r="Q763" s="32">
        <f t="shared" si="304"/>
        <v>0</v>
      </c>
      <c r="R763" s="32">
        <f t="shared" si="304"/>
        <v>0</v>
      </c>
      <c r="S763" s="32">
        <f t="shared" si="304"/>
        <v>0</v>
      </c>
      <c r="T763" s="32">
        <f t="shared" si="304"/>
        <v>0</v>
      </c>
      <c r="U763" s="32">
        <f t="shared" si="304"/>
        <v>0</v>
      </c>
      <c r="V763" s="32">
        <f t="shared" si="304"/>
        <v>0</v>
      </c>
      <c r="W763" s="32">
        <f t="shared" si="304"/>
        <v>0</v>
      </c>
      <c r="X763" s="32">
        <f t="shared" si="304"/>
        <v>0</v>
      </c>
      <c r="Y763" s="32">
        <f t="shared" si="304"/>
        <v>0</v>
      </c>
      <c r="Z763" s="32">
        <f t="shared" si="304"/>
        <v>0</v>
      </c>
      <c r="AA763" s="32">
        <f t="shared" si="304"/>
        <v>0</v>
      </c>
      <c r="AB763" s="32">
        <f t="shared" si="304"/>
        <v>0</v>
      </c>
      <c r="AC763" s="32">
        <f t="shared" si="304"/>
        <v>116163.88</v>
      </c>
      <c r="AD763" s="32">
        <f t="shared" si="304"/>
        <v>300000</v>
      </c>
      <c r="AE763" s="32">
        <f t="shared" si="304"/>
        <v>0</v>
      </c>
      <c r="AF763" s="77" t="s">
        <v>801</v>
      </c>
      <c r="AG763" s="77" t="s">
        <v>801</v>
      </c>
      <c r="AH763" s="107" t="s">
        <v>801</v>
      </c>
      <c r="AT763" s="21" t="e">
        <f t="shared" si="290"/>
        <v>#N/A</v>
      </c>
    </row>
    <row r="764" spans="1:46" ht="61.5" x14ac:dyDescent="0.85">
      <c r="A764" s="21">
        <v>1</v>
      </c>
      <c r="B764" s="70">
        <f>SUBTOTAL(103,$A$535:A764)</f>
        <v>222</v>
      </c>
      <c r="C764" s="25" t="s">
        <v>700</v>
      </c>
      <c r="D764" s="32">
        <f t="shared" ref="D764:D765" si="305">E764+F764+G764+H764+I764+J764+L764+N764+P764+R764+T764+U764+V764+W764+X764+Y764+Z764+AA764+AB764+AC764+AD764+AE764</f>
        <v>4610143</v>
      </c>
      <c r="E764" s="37">
        <v>0</v>
      </c>
      <c r="F764" s="37">
        <v>0</v>
      </c>
      <c r="G764" s="37">
        <v>0</v>
      </c>
      <c r="H764" s="37">
        <v>0</v>
      </c>
      <c r="I764" s="37">
        <v>0</v>
      </c>
      <c r="J764" s="37">
        <v>0</v>
      </c>
      <c r="K764" s="34">
        <v>0</v>
      </c>
      <c r="L764" s="32">
        <v>0</v>
      </c>
      <c r="M764" s="32">
        <v>883</v>
      </c>
      <c r="N764" s="32">
        <v>4394229.5599999996</v>
      </c>
      <c r="O764" s="32">
        <v>0</v>
      </c>
      <c r="P764" s="32">
        <v>0</v>
      </c>
      <c r="Q764" s="32">
        <v>0</v>
      </c>
      <c r="R764" s="32">
        <v>0</v>
      </c>
      <c r="S764" s="32">
        <v>0</v>
      </c>
      <c r="T764" s="32">
        <v>0</v>
      </c>
      <c r="U764" s="32">
        <v>0</v>
      </c>
      <c r="V764" s="32">
        <v>0</v>
      </c>
      <c r="W764" s="32">
        <v>0</v>
      </c>
      <c r="X764" s="32">
        <v>0</v>
      </c>
      <c r="Y764" s="32">
        <v>0</v>
      </c>
      <c r="Z764" s="32">
        <v>0</v>
      </c>
      <c r="AA764" s="32">
        <v>0</v>
      </c>
      <c r="AB764" s="32">
        <v>0</v>
      </c>
      <c r="AC764" s="32">
        <f t="shared" ref="AC764:AC765" si="306">ROUND(N764*1.5%,2)</f>
        <v>65913.440000000002</v>
      </c>
      <c r="AD764" s="32">
        <v>150000</v>
      </c>
      <c r="AE764" s="32">
        <v>0</v>
      </c>
      <c r="AF764" s="35">
        <v>2021</v>
      </c>
      <c r="AG764" s="35">
        <v>2021</v>
      </c>
      <c r="AH764" s="36">
        <v>2021</v>
      </c>
      <c r="AT764" s="21" t="e">
        <f t="shared" si="290"/>
        <v>#N/A</v>
      </c>
    </row>
    <row r="765" spans="1:46" ht="61.5" x14ac:dyDescent="0.85">
      <c r="A765" s="21">
        <v>1</v>
      </c>
      <c r="B765" s="70">
        <f>SUBTOTAL(103,$A$535:A765)</f>
        <v>223</v>
      </c>
      <c r="C765" s="25" t="s">
        <v>698</v>
      </c>
      <c r="D765" s="32">
        <f t="shared" si="305"/>
        <v>3550280</v>
      </c>
      <c r="E765" s="37">
        <v>0</v>
      </c>
      <c r="F765" s="37">
        <v>0</v>
      </c>
      <c r="G765" s="37">
        <v>0</v>
      </c>
      <c r="H765" s="37">
        <v>0</v>
      </c>
      <c r="I765" s="37">
        <v>0</v>
      </c>
      <c r="J765" s="37">
        <v>0</v>
      </c>
      <c r="K765" s="34">
        <v>0</v>
      </c>
      <c r="L765" s="32">
        <v>0</v>
      </c>
      <c r="M765" s="32">
        <v>680</v>
      </c>
      <c r="N765" s="32">
        <v>3350029.56</v>
      </c>
      <c r="O765" s="32">
        <v>0</v>
      </c>
      <c r="P765" s="32">
        <v>0</v>
      </c>
      <c r="Q765" s="32">
        <v>0</v>
      </c>
      <c r="R765" s="32">
        <v>0</v>
      </c>
      <c r="S765" s="32">
        <v>0</v>
      </c>
      <c r="T765" s="32">
        <v>0</v>
      </c>
      <c r="U765" s="32">
        <v>0</v>
      </c>
      <c r="V765" s="32">
        <v>0</v>
      </c>
      <c r="W765" s="32">
        <v>0</v>
      </c>
      <c r="X765" s="32">
        <v>0</v>
      </c>
      <c r="Y765" s="32">
        <v>0</v>
      </c>
      <c r="Z765" s="32">
        <v>0</v>
      </c>
      <c r="AA765" s="32">
        <v>0</v>
      </c>
      <c r="AB765" s="32">
        <v>0</v>
      </c>
      <c r="AC765" s="32">
        <f t="shared" si="306"/>
        <v>50250.44</v>
      </c>
      <c r="AD765" s="32">
        <v>150000</v>
      </c>
      <c r="AE765" s="32">
        <v>0</v>
      </c>
      <c r="AF765" s="35">
        <v>2021</v>
      </c>
      <c r="AG765" s="35">
        <v>2021</v>
      </c>
      <c r="AH765" s="36">
        <v>2021</v>
      </c>
      <c r="AT765" s="21" t="e">
        <f t="shared" si="290"/>
        <v>#N/A</v>
      </c>
    </row>
    <row r="766" spans="1:46" ht="61.5" x14ac:dyDescent="0.85">
      <c r="B766" s="25" t="s">
        <v>871</v>
      </c>
      <c r="C766" s="110"/>
      <c r="D766" s="32">
        <f>SUM(D767:D768)</f>
        <v>3875920.4000000004</v>
      </c>
      <c r="E766" s="32">
        <v>0</v>
      </c>
      <c r="F766" s="32">
        <v>0</v>
      </c>
      <c r="G766" s="32">
        <v>0</v>
      </c>
      <c r="H766" s="32">
        <v>0</v>
      </c>
      <c r="I766" s="32">
        <v>0</v>
      </c>
      <c r="J766" s="32">
        <v>0</v>
      </c>
      <c r="K766" s="34">
        <v>0</v>
      </c>
      <c r="L766" s="32">
        <v>0</v>
      </c>
      <c r="M766" s="32">
        <v>1234.3</v>
      </c>
      <c r="N766" s="32">
        <v>3552630.9299999997</v>
      </c>
      <c r="O766" s="32">
        <v>0</v>
      </c>
      <c r="P766" s="32">
        <v>0</v>
      </c>
      <c r="Q766" s="32">
        <v>0</v>
      </c>
      <c r="R766" s="32">
        <v>0</v>
      </c>
      <c r="S766" s="32">
        <v>0</v>
      </c>
      <c r="T766" s="32">
        <v>0</v>
      </c>
      <c r="U766" s="32">
        <v>0</v>
      </c>
      <c r="V766" s="32">
        <v>0</v>
      </c>
      <c r="W766" s="32">
        <v>0</v>
      </c>
      <c r="X766" s="32">
        <v>0</v>
      </c>
      <c r="Y766" s="32">
        <v>0</v>
      </c>
      <c r="Z766" s="32">
        <v>0</v>
      </c>
      <c r="AA766" s="32">
        <v>0</v>
      </c>
      <c r="AB766" s="32">
        <v>0</v>
      </c>
      <c r="AC766" s="32">
        <v>53289.47</v>
      </c>
      <c r="AD766" s="32">
        <v>270000</v>
      </c>
      <c r="AE766" s="32">
        <v>0</v>
      </c>
      <c r="AF766" s="77" t="s">
        <v>801</v>
      </c>
      <c r="AG766" s="77" t="s">
        <v>801</v>
      </c>
      <c r="AH766" s="107" t="s">
        <v>801</v>
      </c>
      <c r="AT766" s="21" t="e">
        <f t="shared" si="290"/>
        <v>#N/A</v>
      </c>
    </row>
    <row r="767" spans="1:46" ht="61.5" x14ac:dyDescent="0.85">
      <c r="A767" s="21">
        <v>1</v>
      </c>
      <c r="B767" s="70">
        <f>SUBTOTAL(103,$A$535:A767)</f>
        <v>224</v>
      </c>
      <c r="C767" s="25" t="s">
        <v>809</v>
      </c>
      <c r="D767" s="32">
        <f t="shared" ref="D767:D768" si="307">E767+F767+G767+H767+I767+J767+L767+N767+P767+R767+T767+U767+V767+W767+X767+Y767+Z767+AA767+AB767+AC767+AD767+AE767</f>
        <v>2579501.7000000002</v>
      </c>
      <c r="E767" s="32">
        <v>0</v>
      </c>
      <c r="F767" s="32">
        <v>0</v>
      </c>
      <c r="G767" s="32">
        <v>0</v>
      </c>
      <c r="H767" s="32">
        <v>0</v>
      </c>
      <c r="I767" s="32">
        <v>0</v>
      </c>
      <c r="J767" s="32">
        <v>0</v>
      </c>
      <c r="K767" s="34">
        <v>0</v>
      </c>
      <c r="L767" s="32">
        <v>0</v>
      </c>
      <c r="M767" s="32">
        <v>900</v>
      </c>
      <c r="N767" s="32">
        <v>2393597.73</v>
      </c>
      <c r="O767" s="32">
        <v>0</v>
      </c>
      <c r="P767" s="32">
        <v>0</v>
      </c>
      <c r="Q767" s="32">
        <v>0</v>
      </c>
      <c r="R767" s="32">
        <v>0</v>
      </c>
      <c r="S767" s="32">
        <v>0</v>
      </c>
      <c r="T767" s="32">
        <v>0</v>
      </c>
      <c r="U767" s="32">
        <v>0</v>
      </c>
      <c r="V767" s="32">
        <v>0</v>
      </c>
      <c r="W767" s="32">
        <v>0</v>
      </c>
      <c r="X767" s="32">
        <v>0</v>
      </c>
      <c r="Y767" s="32">
        <v>0</v>
      </c>
      <c r="Z767" s="32">
        <v>0</v>
      </c>
      <c r="AA767" s="32">
        <v>0</v>
      </c>
      <c r="AB767" s="32">
        <v>0</v>
      </c>
      <c r="AC767" s="32">
        <f t="shared" ref="AC767:AC768" si="308">ROUND(N767*1.5%,2)</f>
        <v>35903.97</v>
      </c>
      <c r="AD767" s="32">
        <v>150000</v>
      </c>
      <c r="AE767" s="32">
        <v>0</v>
      </c>
      <c r="AF767" s="35">
        <v>2021</v>
      </c>
      <c r="AG767" s="35">
        <v>2021</v>
      </c>
      <c r="AH767" s="36">
        <v>2021</v>
      </c>
      <c r="AT767" s="21" t="e">
        <f t="shared" si="290"/>
        <v>#N/A</v>
      </c>
    </row>
    <row r="768" spans="1:46" ht="61.5" x14ac:dyDescent="0.85">
      <c r="A768" s="21">
        <v>1</v>
      </c>
      <c r="B768" s="70">
        <f>SUBTOTAL(103,$A$535:A768)</f>
        <v>225</v>
      </c>
      <c r="C768" s="25" t="s">
        <v>734</v>
      </c>
      <c r="D768" s="32">
        <f t="shared" si="307"/>
        <v>1296418.7</v>
      </c>
      <c r="E768" s="32">
        <v>0</v>
      </c>
      <c r="F768" s="32">
        <v>0</v>
      </c>
      <c r="G768" s="32">
        <v>0</v>
      </c>
      <c r="H768" s="32">
        <v>0</v>
      </c>
      <c r="I768" s="32">
        <v>0</v>
      </c>
      <c r="J768" s="32">
        <v>0</v>
      </c>
      <c r="K768" s="34">
        <v>0</v>
      </c>
      <c r="L768" s="32">
        <v>0</v>
      </c>
      <c r="M768" s="32">
        <v>334.3</v>
      </c>
      <c r="N768" s="32">
        <v>1159033.2</v>
      </c>
      <c r="O768" s="32">
        <v>0</v>
      </c>
      <c r="P768" s="32">
        <v>0</v>
      </c>
      <c r="Q768" s="32">
        <v>0</v>
      </c>
      <c r="R768" s="32">
        <v>0</v>
      </c>
      <c r="S768" s="32">
        <v>0</v>
      </c>
      <c r="T768" s="32">
        <v>0</v>
      </c>
      <c r="U768" s="32">
        <v>0</v>
      </c>
      <c r="V768" s="32">
        <v>0</v>
      </c>
      <c r="W768" s="32">
        <v>0</v>
      </c>
      <c r="X768" s="32">
        <v>0</v>
      </c>
      <c r="Y768" s="32">
        <v>0</v>
      </c>
      <c r="Z768" s="32">
        <v>0</v>
      </c>
      <c r="AA768" s="32">
        <v>0</v>
      </c>
      <c r="AB768" s="32">
        <v>0</v>
      </c>
      <c r="AC768" s="32">
        <f t="shared" si="308"/>
        <v>17385.5</v>
      </c>
      <c r="AD768" s="32">
        <v>120000</v>
      </c>
      <c r="AE768" s="32">
        <v>0</v>
      </c>
      <c r="AF768" s="35">
        <v>2021</v>
      </c>
      <c r="AG768" s="35">
        <v>2021</v>
      </c>
      <c r="AH768" s="36">
        <v>2021</v>
      </c>
      <c r="AT768" s="21" t="e">
        <f t="shared" si="290"/>
        <v>#N/A</v>
      </c>
    </row>
    <row r="769" spans="1:46" ht="61.5" x14ac:dyDescent="0.85">
      <c r="B769" s="25" t="s">
        <v>873</v>
      </c>
      <c r="C769" s="25"/>
      <c r="D769" s="32">
        <f t="shared" ref="D769:AE769" si="309">SUM(D770:D771)</f>
        <v>3008567.42</v>
      </c>
      <c r="E769" s="32">
        <f t="shared" si="309"/>
        <v>0</v>
      </c>
      <c r="F769" s="32">
        <f t="shared" si="309"/>
        <v>0</v>
      </c>
      <c r="G769" s="32">
        <f t="shared" si="309"/>
        <v>0</v>
      </c>
      <c r="H769" s="32">
        <f t="shared" si="309"/>
        <v>0</v>
      </c>
      <c r="I769" s="32">
        <f t="shared" si="309"/>
        <v>357402.65</v>
      </c>
      <c r="J769" s="32">
        <f t="shared" si="309"/>
        <v>0</v>
      </c>
      <c r="K769" s="34">
        <f t="shared" si="309"/>
        <v>0</v>
      </c>
      <c r="L769" s="32">
        <f t="shared" si="309"/>
        <v>0</v>
      </c>
      <c r="M769" s="32">
        <f t="shared" si="309"/>
        <v>644.5</v>
      </c>
      <c r="N769" s="32">
        <f t="shared" si="309"/>
        <v>2419511.06</v>
      </c>
      <c r="O769" s="32">
        <f t="shared" si="309"/>
        <v>0</v>
      </c>
      <c r="P769" s="32">
        <f t="shared" si="309"/>
        <v>0</v>
      </c>
      <c r="Q769" s="32">
        <f t="shared" si="309"/>
        <v>0</v>
      </c>
      <c r="R769" s="32">
        <f t="shared" si="309"/>
        <v>0</v>
      </c>
      <c r="S769" s="32">
        <f t="shared" si="309"/>
        <v>0</v>
      </c>
      <c r="T769" s="32">
        <f t="shared" si="309"/>
        <v>0</v>
      </c>
      <c r="U769" s="32">
        <f t="shared" si="309"/>
        <v>0</v>
      </c>
      <c r="V769" s="32">
        <f t="shared" si="309"/>
        <v>0</v>
      </c>
      <c r="W769" s="32">
        <f t="shared" si="309"/>
        <v>0</v>
      </c>
      <c r="X769" s="32">
        <f t="shared" si="309"/>
        <v>0</v>
      </c>
      <c r="Y769" s="32">
        <f t="shared" si="309"/>
        <v>0</v>
      </c>
      <c r="Z769" s="32">
        <f t="shared" si="309"/>
        <v>0</v>
      </c>
      <c r="AA769" s="32">
        <f t="shared" si="309"/>
        <v>0</v>
      </c>
      <c r="AB769" s="32">
        <f t="shared" si="309"/>
        <v>0</v>
      </c>
      <c r="AC769" s="32">
        <f t="shared" si="309"/>
        <v>41653.71</v>
      </c>
      <c r="AD769" s="32">
        <f t="shared" si="309"/>
        <v>190000</v>
      </c>
      <c r="AE769" s="32">
        <f t="shared" si="309"/>
        <v>0</v>
      </c>
      <c r="AF769" s="77" t="s">
        <v>801</v>
      </c>
      <c r="AG769" s="77" t="s">
        <v>801</v>
      </c>
      <c r="AH769" s="107" t="s">
        <v>801</v>
      </c>
      <c r="AT769" s="21" t="e">
        <f t="shared" si="290"/>
        <v>#N/A</v>
      </c>
    </row>
    <row r="770" spans="1:46" ht="61.5" x14ac:dyDescent="0.85">
      <c r="A770" s="21">
        <v>1</v>
      </c>
      <c r="B770" s="70">
        <f>SUBTOTAL(103,$A$535:A770)</f>
        <v>226</v>
      </c>
      <c r="C770" s="25" t="s">
        <v>735</v>
      </c>
      <c r="D770" s="32">
        <f t="shared" ref="D770:D771" si="310">E770+F770+G770+H770+I770+J770+L770+N770+P770+R770+T770+U770+V770+W770+X770+Y770+Z770+AA770+AB770+AC770+AD770+AE770</f>
        <v>2605803.73</v>
      </c>
      <c r="E770" s="32">
        <v>0</v>
      </c>
      <c r="F770" s="32">
        <v>0</v>
      </c>
      <c r="G770" s="32">
        <v>0</v>
      </c>
      <c r="H770" s="32">
        <v>0</v>
      </c>
      <c r="I770" s="32">
        <v>0</v>
      </c>
      <c r="J770" s="32">
        <v>0</v>
      </c>
      <c r="K770" s="34">
        <v>0</v>
      </c>
      <c r="L770" s="32">
        <v>0</v>
      </c>
      <c r="M770" s="32">
        <v>644.5</v>
      </c>
      <c r="N770" s="32">
        <v>2419511.06</v>
      </c>
      <c r="O770" s="32">
        <v>0</v>
      </c>
      <c r="P770" s="32">
        <v>0</v>
      </c>
      <c r="Q770" s="32">
        <v>0</v>
      </c>
      <c r="R770" s="32">
        <v>0</v>
      </c>
      <c r="S770" s="32">
        <v>0</v>
      </c>
      <c r="T770" s="32">
        <v>0</v>
      </c>
      <c r="U770" s="32">
        <v>0</v>
      </c>
      <c r="V770" s="32">
        <v>0</v>
      </c>
      <c r="W770" s="32">
        <v>0</v>
      </c>
      <c r="X770" s="32">
        <v>0</v>
      </c>
      <c r="Y770" s="32">
        <v>0</v>
      </c>
      <c r="Z770" s="32">
        <v>0</v>
      </c>
      <c r="AA770" s="32">
        <v>0</v>
      </c>
      <c r="AB770" s="32">
        <v>0</v>
      </c>
      <c r="AC770" s="32">
        <f>ROUND(N770*1.5%,2)</f>
        <v>36292.67</v>
      </c>
      <c r="AD770" s="32">
        <v>150000</v>
      </c>
      <c r="AE770" s="32">
        <v>0</v>
      </c>
      <c r="AF770" s="35">
        <v>2021</v>
      </c>
      <c r="AG770" s="35">
        <v>2021</v>
      </c>
      <c r="AH770" s="36">
        <v>2021</v>
      </c>
      <c r="AT770" s="21" t="e">
        <f t="shared" ref="AT770:AT786" si="311">VLOOKUP(C770,AW:AX,2,FALSE)</f>
        <v>#N/A</v>
      </c>
    </row>
    <row r="771" spans="1:46" ht="61.5" x14ac:dyDescent="0.85">
      <c r="A771" s="21">
        <v>1</v>
      </c>
      <c r="B771" s="70">
        <f>SUBTOTAL(103,$A$535:A771)</f>
        <v>227</v>
      </c>
      <c r="C771" s="25" t="s">
        <v>725</v>
      </c>
      <c r="D771" s="32">
        <f t="shared" si="310"/>
        <v>402763.69</v>
      </c>
      <c r="E771" s="32">
        <v>0</v>
      </c>
      <c r="F771" s="32">
        <v>0</v>
      </c>
      <c r="G771" s="32">
        <v>0</v>
      </c>
      <c r="H771" s="32">
        <v>0</v>
      </c>
      <c r="I771" s="32">
        <v>357402.65</v>
      </c>
      <c r="J771" s="32">
        <v>0</v>
      </c>
      <c r="K771" s="34">
        <v>0</v>
      </c>
      <c r="L771" s="32">
        <v>0</v>
      </c>
      <c r="M771" s="32">
        <v>0</v>
      </c>
      <c r="N771" s="32">
        <v>0</v>
      </c>
      <c r="O771" s="32">
        <v>0</v>
      </c>
      <c r="P771" s="32">
        <v>0</v>
      </c>
      <c r="Q771" s="32">
        <v>0</v>
      </c>
      <c r="R771" s="32">
        <v>0</v>
      </c>
      <c r="S771" s="32">
        <v>0</v>
      </c>
      <c r="T771" s="32">
        <v>0</v>
      </c>
      <c r="U771" s="32">
        <v>0</v>
      </c>
      <c r="V771" s="32">
        <v>0</v>
      </c>
      <c r="W771" s="32">
        <v>0</v>
      </c>
      <c r="X771" s="32">
        <v>0</v>
      </c>
      <c r="Y771" s="32">
        <v>0</v>
      </c>
      <c r="Z771" s="32">
        <v>0</v>
      </c>
      <c r="AA771" s="32">
        <v>0</v>
      </c>
      <c r="AB771" s="32">
        <v>0</v>
      </c>
      <c r="AC771" s="32">
        <f t="shared" ref="AC771" si="312">ROUND((E771+F771+G771+H771+I771+J771)*1.5%,2)</f>
        <v>5361.04</v>
      </c>
      <c r="AD771" s="32">
        <v>40000</v>
      </c>
      <c r="AE771" s="32">
        <v>0</v>
      </c>
      <c r="AF771" s="35">
        <v>2021</v>
      </c>
      <c r="AG771" s="35">
        <v>2021</v>
      </c>
      <c r="AH771" s="36">
        <v>2021</v>
      </c>
      <c r="AT771" s="21" t="e">
        <f t="shared" si="311"/>
        <v>#N/A</v>
      </c>
    </row>
    <row r="772" spans="1:46" ht="61.5" x14ac:dyDescent="0.85">
      <c r="B772" s="25" t="s">
        <v>918</v>
      </c>
      <c r="C772" s="25"/>
      <c r="D772" s="32">
        <f t="shared" ref="D772:AE772" si="313">D773</f>
        <v>3080948</v>
      </c>
      <c r="E772" s="32">
        <f t="shared" si="313"/>
        <v>0</v>
      </c>
      <c r="F772" s="32">
        <f t="shared" si="313"/>
        <v>0</v>
      </c>
      <c r="G772" s="32">
        <f t="shared" si="313"/>
        <v>0</v>
      </c>
      <c r="H772" s="32">
        <f t="shared" si="313"/>
        <v>0</v>
      </c>
      <c r="I772" s="32">
        <f t="shared" si="313"/>
        <v>0</v>
      </c>
      <c r="J772" s="32">
        <f t="shared" si="313"/>
        <v>0</v>
      </c>
      <c r="K772" s="34">
        <f t="shared" si="313"/>
        <v>0</v>
      </c>
      <c r="L772" s="32">
        <f t="shared" si="313"/>
        <v>0</v>
      </c>
      <c r="M772" s="32">
        <f t="shared" si="313"/>
        <v>520</v>
      </c>
      <c r="N772" s="32">
        <f t="shared" si="313"/>
        <v>2887633.5</v>
      </c>
      <c r="O772" s="32">
        <f t="shared" si="313"/>
        <v>0</v>
      </c>
      <c r="P772" s="32">
        <f t="shared" si="313"/>
        <v>0</v>
      </c>
      <c r="Q772" s="32">
        <f t="shared" si="313"/>
        <v>0</v>
      </c>
      <c r="R772" s="32">
        <f t="shared" si="313"/>
        <v>0</v>
      </c>
      <c r="S772" s="32">
        <f t="shared" si="313"/>
        <v>0</v>
      </c>
      <c r="T772" s="32">
        <f t="shared" si="313"/>
        <v>0</v>
      </c>
      <c r="U772" s="32">
        <f t="shared" si="313"/>
        <v>0</v>
      </c>
      <c r="V772" s="32">
        <f t="shared" si="313"/>
        <v>0</v>
      </c>
      <c r="W772" s="32">
        <f t="shared" si="313"/>
        <v>0</v>
      </c>
      <c r="X772" s="32">
        <f t="shared" si="313"/>
        <v>0</v>
      </c>
      <c r="Y772" s="32">
        <f t="shared" si="313"/>
        <v>0</v>
      </c>
      <c r="Z772" s="32">
        <f t="shared" si="313"/>
        <v>0</v>
      </c>
      <c r="AA772" s="32">
        <f t="shared" si="313"/>
        <v>0</v>
      </c>
      <c r="AB772" s="32">
        <f t="shared" si="313"/>
        <v>0</v>
      </c>
      <c r="AC772" s="32">
        <f t="shared" si="313"/>
        <v>43314.5</v>
      </c>
      <c r="AD772" s="32">
        <f t="shared" si="313"/>
        <v>150000</v>
      </c>
      <c r="AE772" s="32">
        <f t="shared" si="313"/>
        <v>0</v>
      </c>
      <c r="AF772" s="77" t="s">
        <v>801</v>
      </c>
      <c r="AG772" s="77" t="s">
        <v>801</v>
      </c>
      <c r="AH772" s="107" t="s">
        <v>801</v>
      </c>
      <c r="AT772" s="21" t="e">
        <f t="shared" si="311"/>
        <v>#N/A</v>
      </c>
    </row>
    <row r="773" spans="1:46" ht="61.5" x14ac:dyDescent="0.85">
      <c r="A773" s="21">
        <v>1</v>
      </c>
      <c r="B773" s="70">
        <f>SUBTOTAL(103,$A$535:A773)</f>
        <v>228</v>
      </c>
      <c r="C773" s="25" t="s">
        <v>719</v>
      </c>
      <c r="D773" s="32">
        <f t="shared" ref="D773" si="314">E773+F773+G773+H773+I773+J773+L773+N773+P773+R773+T773+U773+V773+W773+X773+Y773+Z773+AA773+AB773+AC773+AD773+AE773</f>
        <v>3080948</v>
      </c>
      <c r="E773" s="32">
        <v>0</v>
      </c>
      <c r="F773" s="32">
        <v>0</v>
      </c>
      <c r="G773" s="32">
        <v>0</v>
      </c>
      <c r="H773" s="32">
        <v>0</v>
      </c>
      <c r="I773" s="32">
        <v>0</v>
      </c>
      <c r="J773" s="32">
        <v>0</v>
      </c>
      <c r="K773" s="34">
        <v>0</v>
      </c>
      <c r="L773" s="32">
        <v>0</v>
      </c>
      <c r="M773" s="32">
        <v>520</v>
      </c>
      <c r="N773" s="32">
        <v>2887633.5</v>
      </c>
      <c r="O773" s="32">
        <v>0</v>
      </c>
      <c r="P773" s="32">
        <v>0</v>
      </c>
      <c r="Q773" s="32">
        <v>0</v>
      </c>
      <c r="R773" s="32">
        <v>0</v>
      </c>
      <c r="S773" s="32">
        <v>0</v>
      </c>
      <c r="T773" s="32">
        <v>0</v>
      </c>
      <c r="U773" s="32">
        <v>0</v>
      </c>
      <c r="V773" s="32">
        <v>0</v>
      </c>
      <c r="W773" s="32">
        <v>0</v>
      </c>
      <c r="X773" s="32">
        <v>0</v>
      </c>
      <c r="Y773" s="32">
        <v>0</v>
      </c>
      <c r="Z773" s="32">
        <v>0</v>
      </c>
      <c r="AA773" s="32">
        <v>0</v>
      </c>
      <c r="AB773" s="32">
        <v>0</v>
      </c>
      <c r="AC773" s="32">
        <f>ROUND(N773*1.5%,2)</f>
        <v>43314.5</v>
      </c>
      <c r="AD773" s="32">
        <v>150000</v>
      </c>
      <c r="AE773" s="32">
        <v>0</v>
      </c>
      <c r="AF773" s="35">
        <v>2021</v>
      </c>
      <c r="AG773" s="35">
        <v>2021</v>
      </c>
      <c r="AH773" s="36">
        <v>2021</v>
      </c>
      <c r="AT773" s="21" t="e">
        <f t="shared" si="311"/>
        <v>#N/A</v>
      </c>
    </row>
    <row r="774" spans="1:46" ht="61.5" x14ac:dyDescent="0.85">
      <c r="B774" s="25" t="s">
        <v>874</v>
      </c>
      <c r="C774" s="25"/>
      <c r="D774" s="32">
        <f t="shared" ref="D774:AE774" si="315">D775</f>
        <v>2000000</v>
      </c>
      <c r="E774" s="32">
        <f t="shared" si="315"/>
        <v>0</v>
      </c>
      <c r="F774" s="32">
        <f t="shared" si="315"/>
        <v>0</v>
      </c>
      <c r="G774" s="32">
        <f t="shared" si="315"/>
        <v>0</v>
      </c>
      <c r="H774" s="32">
        <f t="shared" si="315"/>
        <v>0</v>
      </c>
      <c r="I774" s="32">
        <f t="shared" si="315"/>
        <v>0</v>
      </c>
      <c r="J774" s="32">
        <f t="shared" si="315"/>
        <v>0</v>
      </c>
      <c r="K774" s="34">
        <f t="shared" si="315"/>
        <v>0</v>
      </c>
      <c r="L774" s="32">
        <f t="shared" si="315"/>
        <v>0</v>
      </c>
      <c r="M774" s="32">
        <f t="shared" si="315"/>
        <v>674.9</v>
      </c>
      <c r="N774" s="32">
        <f t="shared" si="315"/>
        <v>1822660.1</v>
      </c>
      <c r="O774" s="32">
        <f t="shared" si="315"/>
        <v>0</v>
      </c>
      <c r="P774" s="32">
        <f t="shared" si="315"/>
        <v>0</v>
      </c>
      <c r="Q774" s="32">
        <f t="shared" si="315"/>
        <v>0</v>
      </c>
      <c r="R774" s="32">
        <f t="shared" si="315"/>
        <v>0</v>
      </c>
      <c r="S774" s="32">
        <f t="shared" si="315"/>
        <v>0</v>
      </c>
      <c r="T774" s="32">
        <f t="shared" si="315"/>
        <v>0</v>
      </c>
      <c r="U774" s="32">
        <f t="shared" si="315"/>
        <v>0</v>
      </c>
      <c r="V774" s="32">
        <f t="shared" si="315"/>
        <v>0</v>
      </c>
      <c r="W774" s="32">
        <f t="shared" si="315"/>
        <v>0</v>
      </c>
      <c r="X774" s="32">
        <f t="shared" si="315"/>
        <v>0</v>
      </c>
      <c r="Y774" s="32">
        <f t="shared" si="315"/>
        <v>0</v>
      </c>
      <c r="Z774" s="32">
        <f t="shared" si="315"/>
        <v>0</v>
      </c>
      <c r="AA774" s="32">
        <f t="shared" si="315"/>
        <v>0</v>
      </c>
      <c r="AB774" s="32">
        <f t="shared" si="315"/>
        <v>0</v>
      </c>
      <c r="AC774" s="32">
        <f t="shared" si="315"/>
        <v>27339.9</v>
      </c>
      <c r="AD774" s="32">
        <f t="shared" si="315"/>
        <v>150000</v>
      </c>
      <c r="AE774" s="32">
        <f t="shared" si="315"/>
        <v>0</v>
      </c>
      <c r="AF774" s="77" t="s">
        <v>801</v>
      </c>
      <c r="AG774" s="77" t="s">
        <v>801</v>
      </c>
      <c r="AH774" s="107" t="s">
        <v>801</v>
      </c>
      <c r="AT774" s="21" t="e">
        <f t="shared" si="311"/>
        <v>#N/A</v>
      </c>
    </row>
    <row r="775" spans="1:46" ht="61.5" x14ac:dyDescent="0.85">
      <c r="A775" s="21">
        <v>1</v>
      </c>
      <c r="B775" s="70">
        <f>SUBTOTAL(103,$A$535:A775)</f>
        <v>229</v>
      </c>
      <c r="C775" s="25" t="s">
        <v>736</v>
      </c>
      <c r="D775" s="32">
        <f t="shared" ref="D775" si="316">E775+F775+G775+H775+I775+J775+L775+N775+P775+R775+T775+U775+V775+W775+X775+Y775+Z775+AA775+AB775+AC775+AD775+AE775</f>
        <v>2000000</v>
      </c>
      <c r="E775" s="32">
        <v>0</v>
      </c>
      <c r="F775" s="32">
        <v>0</v>
      </c>
      <c r="G775" s="32">
        <v>0</v>
      </c>
      <c r="H775" s="32">
        <v>0</v>
      </c>
      <c r="I775" s="32">
        <v>0</v>
      </c>
      <c r="J775" s="32">
        <v>0</v>
      </c>
      <c r="K775" s="34">
        <v>0</v>
      </c>
      <c r="L775" s="32">
        <v>0</v>
      </c>
      <c r="M775" s="32">
        <v>674.9</v>
      </c>
      <c r="N775" s="32">
        <v>1822660.1</v>
      </c>
      <c r="O775" s="32">
        <v>0</v>
      </c>
      <c r="P775" s="32">
        <v>0</v>
      </c>
      <c r="Q775" s="32">
        <v>0</v>
      </c>
      <c r="R775" s="32">
        <v>0</v>
      </c>
      <c r="S775" s="32">
        <v>0</v>
      </c>
      <c r="T775" s="32">
        <v>0</v>
      </c>
      <c r="U775" s="32">
        <v>0</v>
      </c>
      <c r="V775" s="32">
        <v>0</v>
      </c>
      <c r="W775" s="32">
        <v>0</v>
      </c>
      <c r="X775" s="32">
        <v>0</v>
      </c>
      <c r="Y775" s="32">
        <v>0</v>
      </c>
      <c r="Z775" s="32">
        <v>0</v>
      </c>
      <c r="AA775" s="32">
        <v>0</v>
      </c>
      <c r="AB775" s="32">
        <v>0</v>
      </c>
      <c r="AC775" s="32">
        <f>ROUND(N775*1.5%,2)</f>
        <v>27339.9</v>
      </c>
      <c r="AD775" s="32">
        <v>150000</v>
      </c>
      <c r="AE775" s="32">
        <v>0</v>
      </c>
      <c r="AF775" s="35">
        <v>2021</v>
      </c>
      <c r="AG775" s="35">
        <v>2021</v>
      </c>
      <c r="AH775" s="36">
        <v>2021</v>
      </c>
      <c r="AT775" s="21" t="e">
        <f t="shared" si="311"/>
        <v>#N/A</v>
      </c>
    </row>
    <row r="776" spans="1:46" ht="61.5" x14ac:dyDescent="0.85">
      <c r="B776" s="25" t="s">
        <v>875</v>
      </c>
      <c r="C776" s="25"/>
      <c r="D776" s="32">
        <f t="shared" ref="D776:AE776" si="317">SUM(D777:D782)</f>
        <v>23342012.82</v>
      </c>
      <c r="E776" s="32">
        <f t="shared" si="317"/>
        <v>0</v>
      </c>
      <c r="F776" s="32">
        <f t="shared" si="317"/>
        <v>0</v>
      </c>
      <c r="G776" s="32">
        <f t="shared" si="317"/>
        <v>0</v>
      </c>
      <c r="H776" s="32">
        <f t="shared" si="317"/>
        <v>0</v>
      </c>
      <c r="I776" s="32">
        <f t="shared" si="317"/>
        <v>0</v>
      </c>
      <c r="J776" s="32">
        <f t="shared" si="317"/>
        <v>0</v>
      </c>
      <c r="K776" s="34">
        <f t="shared" si="317"/>
        <v>0</v>
      </c>
      <c r="L776" s="32">
        <f t="shared" si="317"/>
        <v>0</v>
      </c>
      <c r="M776" s="32">
        <f t="shared" si="317"/>
        <v>4052.5</v>
      </c>
      <c r="N776" s="32">
        <f t="shared" si="317"/>
        <v>19724484.109999999</v>
      </c>
      <c r="O776" s="32">
        <f t="shared" si="317"/>
        <v>0</v>
      </c>
      <c r="P776" s="32">
        <f t="shared" si="317"/>
        <v>0</v>
      </c>
      <c r="Q776" s="32">
        <f t="shared" si="317"/>
        <v>2768.5</v>
      </c>
      <c r="R776" s="32">
        <f t="shared" si="317"/>
        <v>2307055.62</v>
      </c>
      <c r="S776" s="32">
        <f t="shared" si="317"/>
        <v>0</v>
      </c>
      <c r="T776" s="32">
        <f t="shared" si="317"/>
        <v>0</v>
      </c>
      <c r="U776" s="32">
        <f t="shared" si="317"/>
        <v>0</v>
      </c>
      <c r="V776" s="32">
        <f t="shared" si="317"/>
        <v>0</v>
      </c>
      <c r="W776" s="32">
        <f t="shared" si="317"/>
        <v>0</v>
      </c>
      <c r="X776" s="32">
        <f t="shared" si="317"/>
        <v>0</v>
      </c>
      <c r="Y776" s="32">
        <f t="shared" si="317"/>
        <v>0</v>
      </c>
      <c r="Z776" s="32">
        <f t="shared" si="317"/>
        <v>0</v>
      </c>
      <c r="AA776" s="32">
        <f t="shared" si="317"/>
        <v>0</v>
      </c>
      <c r="AB776" s="32">
        <f t="shared" si="317"/>
        <v>0</v>
      </c>
      <c r="AC776" s="32">
        <f t="shared" si="317"/>
        <v>330473.09000000003</v>
      </c>
      <c r="AD776" s="32">
        <f t="shared" si="317"/>
        <v>980000</v>
      </c>
      <c r="AE776" s="32">
        <f t="shared" si="317"/>
        <v>0</v>
      </c>
      <c r="AF776" s="77" t="s">
        <v>801</v>
      </c>
      <c r="AG776" s="77" t="s">
        <v>801</v>
      </c>
      <c r="AH776" s="107" t="s">
        <v>801</v>
      </c>
      <c r="AT776" s="21" t="e">
        <f t="shared" si="311"/>
        <v>#N/A</v>
      </c>
    </row>
    <row r="777" spans="1:46" ht="61.5" x14ac:dyDescent="0.85">
      <c r="A777" s="21">
        <v>1</v>
      </c>
      <c r="B777" s="70">
        <f>SUBTOTAL(103,$A$535:A777)</f>
        <v>230</v>
      </c>
      <c r="C777" s="25" t="s">
        <v>716</v>
      </c>
      <c r="D777" s="32">
        <f t="shared" ref="D777:D782" si="318">E777+F777+G777+H777+I777+J777+L777+N777+P777+R777+T777+U777+V777+W777+X777+Y777+Z777+AA777+AB777+AC777+AD777+AE777</f>
        <v>2541661.4500000002</v>
      </c>
      <c r="E777" s="32">
        <v>0</v>
      </c>
      <c r="F777" s="32">
        <v>0</v>
      </c>
      <c r="G777" s="32">
        <v>0</v>
      </c>
      <c r="H777" s="32">
        <v>0</v>
      </c>
      <c r="I777" s="32">
        <v>0</v>
      </c>
      <c r="J777" s="32">
        <v>0</v>
      </c>
      <c r="K777" s="34">
        <v>0</v>
      </c>
      <c r="L777" s="32">
        <v>0</v>
      </c>
      <c r="M777" s="32">
        <v>0</v>
      </c>
      <c r="N777" s="32">
        <v>0</v>
      </c>
      <c r="O777" s="32">
        <v>0</v>
      </c>
      <c r="P777" s="32">
        <v>0</v>
      </c>
      <c r="Q777" s="32">
        <v>2768.5</v>
      </c>
      <c r="R777" s="32">
        <v>2307055.62</v>
      </c>
      <c r="S777" s="32">
        <v>0</v>
      </c>
      <c r="T777" s="32">
        <v>0</v>
      </c>
      <c r="U777" s="32">
        <v>0</v>
      </c>
      <c r="V777" s="32">
        <v>0</v>
      </c>
      <c r="W777" s="32">
        <v>0</v>
      </c>
      <c r="X777" s="32">
        <v>0</v>
      </c>
      <c r="Y777" s="32">
        <v>0</v>
      </c>
      <c r="Z777" s="32">
        <v>0</v>
      </c>
      <c r="AA777" s="32">
        <v>0</v>
      </c>
      <c r="AB777" s="32">
        <v>0</v>
      </c>
      <c r="AC777" s="32">
        <f t="shared" ref="AC777" si="319">ROUND(R777*1.5%,2)</f>
        <v>34605.83</v>
      </c>
      <c r="AD777" s="32">
        <v>200000</v>
      </c>
      <c r="AE777" s="32">
        <v>0</v>
      </c>
      <c r="AF777" s="35">
        <v>2021</v>
      </c>
      <c r="AG777" s="35">
        <v>2021</v>
      </c>
      <c r="AH777" s="36">
        <v>2021</v>
      </c>
      <c r="AT777" s="21">
        <f t="shared" si="311"/>
        <v>1</v>
      </c>
    </row>
    <row r="778" spans="1:46" ht="61.5" x14ac:dyDescent="0.85">
      <c r="A778" s="21">
        <v>1</v>
      </c>
      <c r="B778" s="70">
        <f>SUBTOTAL(103,$A$535:A778)</f>
        <v>231</v>
      </c>
      <c r="C778" s="25" t="s">
        <v>704</v>
      </c>
      <c r="D778" s="32">
        <f t="shared" si="318"/>
        <v>5370787.6200000001</v>
      </c>
      <c r="E778" s="32">
        <v>0</v>
      </c>
      <c r="F778" s="32">
        <v>0</v>
      </c>
      <c r="G778" s="32">
        <v>0</v>
      </c>
      <c r="H778" s="32">
        <v>0</v>
      </c>
      <c r="I778" s="32">
        <v>0</v>
      </c>
      <c r="J778" s="32">
        <v>0</v>
      </c>
      <c r="K778" s="34">
        <v>0</v>
      </c>
      <c r="L778" s="32">
        <v>0</v>
      </c>
      <c r="M778" s="32">
        <v>1107</v>
      </c>
      <c r="N778" s="32">
        <v>5114076.47</v>
      </c>
      <c r="O778" s="32">
        <v>0</v>
      </c>
      <c r="P778" s="32">
        <v>0</v>
      </c>
      <c r="Q778" s="32">
        <v>0</v>
      </c>
      <c r="R778" s="32">
        <v>0</v>
      </c>
      <c r="S778" s="32">
        <v>0</v>
      </c>
      <c r="T778" s="32">
        <v>0</v>
      </c>
      <c r="U778" s="32">
        <v>0</v>
      </c>
      <c r="V778" s="32">
        <v>0</v>
      </c>
      <c r="W778" s="32">
        <v>0</v>
      </c>
      <c r="X778" s="32">
        <v>0</v>
      </c>
      <c r="Y778" s="32">
        <v>0</v>
      </c>
      <c r="Z778" s="32">
        <v>0</v>
      </c>
      <c r="AA778" s="32">
        <v>0</v>
      </c>
      <c r="AB778" s="32">
        <v>0</v>
      </c>
      <c r="AC778" s="32">
        <f t="shared" ref="AC778:AC782" si="320">ROUND(N778*1.5%,2)</f>
        <v>76711.149999999994</v>
      </c>
      <c r="AD778" s="32">
        <v>180000</v>
      </c>
      <c r="AE778" s="32">
        <v>0</v>
      </c>
      <c r="AF778" s="35">
        <v>2021</v>
      </c>
      <c r="AG778" s="35">
        <v>2021</v>
      </c>
      <c r="AH778" s="36">
        <v>2021</v>
      </c>
      <c r="AT778" s="21" t="e">
        <f t="shared" si="311"/>
        <v>#N/A</v>
      </c>
    </row>
    <row r="779" spans="1:46" ht="61.5" x14ac:dyDescent="0.85">
      <c r="A779" s="21">
        <v>1</v>
      </c>
      <c r="B779" s="70">
        <f>SUBTOTAL(103,$A$535:A779)</f>
        <v>232</v>
      </c>
      <c r="C779" s="25" t="s">
        <v>732</v>
      </c>
      <c r="D779" s="32">
        <f t="shared" si="318"/>
        <v>4073004</v>
      </c>
      <c r="E779" s="32">
        <v>0</v>
      </c>
      <c r="F779" s="32">
        <v>0</v>
      </c>
      <c r="G779" s="32">
        <v>0</v>
      </c>
      <c r="H779" s="32">
        <v>0</v>
      </c>
      <c r="I779" s="32">
        <v>0</v>
      </c>
      <c r="J779" s="32">
        <v>0</v>
      </c>
      <c r="K779" s="34">
        <v>0</v>
      </c>
      <c r="L779" s="32">
        <v>0</v>
      </c>
      <c r="M779" s="32">
        <v>780</v>
      </c>
      <c r="N779" s="32">
        <v>3865028.57</v>
      </c>
      <c r="O779" s="32">
        <v>0</v>
      </c>
      <c r="P779" s="32">
        <v>0</v>
      </c>
      <c r="Q779" s="32">
        <v>0</v>
      </c>
      <c r="R779" s="32">
        <v>0</v>
      </c>
      <c r="S779" s="32">
        <v>0</v>
      </c>
      <c r="T779" s="32">
        <v>0</v>
      </c>
      <c r="U779" s="32">
        <v>0</v>
      </c>
      <c r="V779" s="32">
        <v>0</v>
      </c>
      <c r="W779" s="32">
        <v>0</v>
      </c>
      <c r="X779" s="32">
        <v>0</v>
      </c>
      <c r="Y779" s="32">
        <v>0</v>
      </c>
      <c r="Z779" s="32">
        <v>0</v>
      </c>
      <c r="AA779" s="32">
        <v>0</v>
      </c>
      <c r="AB779" s="32">
        <v>0</v>
      </c>
      <c r="AC779" s="32">
        <f t="shared" si="320"/>
        <v>57975.43</v>
      </c>
      <c r="AD779" s="32">
        <v>150000</v>
      </c>
      <c r="AE779" s="32">
        <v>0</v>
      </c>
      <c r="AF779" s="35">
        <v>2021</v>
      </c>
      <c r="AG779" s="35">
        <v>2021</v>
      </c>
      <c r="AH779" s="36">
        <v>2021</v>
      </c>
      <c r="AT779" s="21" t="e">
        <f t="shared" si="311"/>
        <v>#N/A</v>
      </c>
    </row>
    <row r="780" spans="1:46" ht="61.5" x14ac:dyDescent="0.85">
      <c r="A780" s="21">
        <v>1</v>
      </c>
      <c r="B780" s="70">
        <f>SUBTOTAL(103,$A$535:A780)</f>
        <v>233</v>
      </c>
      <c r="C780" s="25" t="s">
        <v>709</v>
      </c>
      <c r="D780" s="32">
        <f t="shared" si="318"/>
        <v>3707478</v>
      </c>
      <c r="E780" s="32">
        <v>0</v>
      </c>
      <c r="F780" s="32">
        <v>0</v>
      </c>
      <c r="G780" s="32">
        <v>0</v>
      </c>
      <c r="H780" s="32">
        <v>0</v>
      </c>
      <c r="I780" s="32">
        <v>0</v>
      </c>
      <c r="J780" s="32">
        <v>0</v>
      </c>
      <c r="K780" s="34">
        <v>0</v>
      </c>
      <c r="L780" s="32">
        <v>0</v>
      </c>
      <c r="M780" s="32">
        <v>710</v>
      </c>
      <c r="N780" s="32">
        <v>3504904.43</v>
      </c>
      <c r="O780" s="32">
        <v>0</v>
      </c>
      <c r="P780" s="32">
        <v>0</v>
      </c>
      <c r="Q780" s="32">
        <v>0</v>
      </c>
      <c r="R780" s="32">
        <v>0</v>
      </c>
      <c r="S780" s="32">
        <v>0</v>
      </c>
      <c r="T780" s="32">
        <v>0</v>
      </c>
      <c r="U780" s="32">
        <v>0</v>
      </c>
      <c r="V780" s="32">
        <v>0</v>
      </c>
      <c r="W780" s="32">
        <v>0</v>
      </c>
      <c r="X780" s="32">
        <v>0</v>
      </c>
      <c r="Y780" s="32">
        <v>0</v>
      </c>
      <c r="Z780" s="32">
        <v>0</v>
      </c>
      <c r="AA780" s="32">
        <v>0</v>
      </c>
      <c r="AB780" s="32">
        <v>0</v>
      </c>
      <c r="AC780" s="32">
        <f t="shared" si="320"/>
        <v>52573.57</v>
      </c>
      <c r="AD780" s="32">
        <v>150000</v>
      </c>
      <c r="AE780" s="32">
        <v>0</v>
      </c>
      <c r="AF780" s="35">
        <v>2021</v>
      </c>
      <c r="AG780" s="35">
        <v>2021</v>
      </c>
      <c r="AH780" s="36">
        <v>2021</v>
      </c>
      <c r="AT780" s="21" t="e">
        <f t="shared" si="311"/>
        <v>#N/A</v>
      </c>
    </row>
    <row r="781" spans="1:46" ht="61.5" x14ac:dyDescent="0.85">
      <c r="A781" s="21">
        <v>1</v>
      </c>
      <c r="B781" s="70">
        <f>SUBTOTAL(103,$A$535:A781)</f>
        <v>234</v>
      </c>
      <c r="C781" s="25" t="s">
        <v>714</v>
      </c>
      <c r="D781" s="32">
        <f t="shared" si="318"/>
        <v>3916350</v>
      </c>
      <c r="E781" s="32">
        <v>0</v>
      </c>
      <c r="F781" s="32">
        <v>0</v>
      </c>
      <c r="G781" s="32">
        <v>0</v>
      </c>
      <c r="H781" s="32">
        <v>0</v>
      </c>
      <c r="I781" s="32">
        <v>0</v>
      </c>
      <c r="J781" s="32">
        <v>0</v>
      </c>
      <c r="K781" s="34">
        <v>0</v>
      </c>
      <c r="L781" s="32">
        <v>0</v>
      </c>
      <c r="M781" s="32">
        <v>750</v>
      </c>
      <c r="N781" s="32">
        <v>3710689.66</v>
      </c>
      <c r="O781" s="32">
        <v>0</v>
      </c>
      <c r="P781" s="32">
        <v>0</v>
      </c>
      <c r="Q781" s="32">
        <v>0</v>
      </c>
      <c r="R781" s="32">
        <v>0</v>
      </c>
      <c r="S781" s="32">
        <v>0</v>
      </c>
      <c r="T781" s="32">
        <v>0</v>
      </c>
      <c r="U781" s="32">
        <v>0</v>
      </c>
      <c r="V781" s="32">
        <v>0</v>
      </c>
      <c r="W781" s="32">
        <v>0</v>
      </c>
      <c r="X781" s="32">
        <v>0</v>
      </c>
      <c r="Y781" s="32">
        <v>0</v>
      </c>
      <c r="Z781" s="32">
        <v>0</v>
      </c>
      <c r="AA781" s="32">
        <v>0</v>
      </c>
      <c r="AB781" s="32">
        <v>0</v>
      </c>
      <c r="AC781" s="32">
        <f t="shared" si="320"/>
        <v>55660.34</v>
      </c>
      <c r="AD781" s="32">
        <v>150000</v>
      </c>
      <c r="AE781" s="32">
        <v>0</v>
      </c>
      <c r="AF781" s="35">
        <v>2021</v>
      </c>
      <c r="AG781" s="35">
        <v>2021</v>
      </c>
      <c r="AH781" s="36">
        <v>2021</v>
      </c>
      <c r="AT781" s="21" t="e">
        <f t="shared" si="311"/>
        <v>#N/A</v>
      </c>
    </row>
    <row r="782" spans="1:46" ht="61.5" x14ac:dyDescent="0.85">
      <c r="A782" s="21">
        <v>1</v>
      </c>
      <c r="B782" s="70">
        <f>SUBTOTAL(103,$A$535:A782)</f>
        <v>235</v>
      </c>
      <c r="C782" s="25" t="s">
        <v>713</v>
      </c>
      <c r="D782" s="32">
        <f t="shared" si="318"/>
        <v>3732731.75</v>
      </c>
      <c r="E782" s="32">
        <v>0</v>
      </c>
      <c r="F782" s="32">
        <v>0</v>
      </c>
      <c r="G782" s="32">
        <v>0</v>
      </c>
      <c r="H782" s="32">
        <v>0</v>
      </c>
      <c r="I782" s="32">
        <v>0</v>
      </c>
      <c r="J782" s="32">
        <v>0</v>
      </c>
      <c r="K782" s="34">
        <v>0</v>
      </c>
      <c r="L782" s="32">
        <v>0</v>
      </c>
      <c r="M782" s="32">
        <v>705.5</v>
      </c>
      <c r="N782" s="32">
        <v>3529784.98</v>
      </c>
      <c r="O782" s="32">
        <v>0</v>
      </c>
      <c r="P782" s="32">
        <v>0</v>
      </c>
      <c r="Q782" s="32">
        <v>0</v>
      </c>
      <c r="R782" s="32">
        <v>0</v>
      </c>
      <c r="S782" s="32">
        <v>0</v>
      </c>
      <c r="T782" s="32">
        <v>0</v>
      </c>
      <c r="U782" s="32">
        <v>0</v>
      </c>
      <c r="V782" s="32">
        <v>0</v>
      </c>
      <c r="W782" s="32">
        <v>0</v>
      </c>
      <c r="X782" s="32">
        <v>0</v>
      </c>
      <c r="Y782" s="32">
        <v>0</v>
      </c>
      <c r="Z782" s="32">
        <v>0</v>
      </c>
      <c r="AA782" s="32">
        <v>0</v>
      </c>
      <c r="AB782" s="32">
        <v>0</v>
      </c>
      <c r="AC782" s="32">
        <f t="shared" si="320"/>
        <v>52946.77</v>
      </c>
      <c r="AD782" s="32">
        <v>150000</v>
      </c>
      <c r="AE782" s="32">
        <v>0</v>
      </c>
      <c r="AF782" s="35">
        <v>2021</v>
      </c>
      <c r="AG782" s="35">
        <v>2021</v>
      </c>
      <c r="AH782" s="36">
        <v>2021</v>
      </c>
      <c r="AT782" s="21" t="e">
        <f t="shared" si="311"/>
        <v>#N/A</v>
      </c>
    </row>
    <row r="783" spans="1:46" ht="61.5" x14ac:dyDescent="0.85">
      <c r="B783" s="25" t="s">
        <v>876</v>
      </c>
      <c r="C783" s="110"/>
      <c r="D783" s="32">
        <f t="shared" ref="D783:AE783" si="321">SUM(D784:D785)</f>
        <v>11973050.91</v>
      </c>
      <c r="E783" s="32">
        <f t="shared" si="321"/>
        <v>0</v>
      </c>
      <c r="F783" s="32">
        <f t="shared" si="321"/>
        <v>0</v>
      </c>
      <c r="G783" s="32">
        <f t="shared" si="321"/>
        <v>0</v>
      </c>
      <c r="H783" s="32">
        <f t="shared" si="321"/>
        <v>0</v>
      </c>
      <c r="I783" s="32">
        <f t="shared" si="321"/>
        <v>0</v>
      </c>
      <c r="J783" s="32">
        <f t="shared" si="321"/>
        <v>0</v>
      </c>
      <c r="K783" s="34">
        <f t="shared" si="321"/>
        <v>0</v>
      </c>
      <c r="L783" s="32">
        <f t="shared" si="321"/>
        <v>0</v>
      </c>
      <c r="M783" s="32">
        <f t="shared" si="321"/>
        <v>2150</v>
      </c>
      <c r="N783" s="32">
        <f t="shared" si="321"/>
        <v>11470986.119999999</v>
      </c>
      <c r="O783" s="32">
        <f t="shared" si="321"/>
        <v>0</v>
      </c>
      <c r="P783" s="32">
        <f t="shared" si="321"/>
        <v>0</v>
      </c>
      <c r="Q783" s="32">
        <f t="shared" si="321"/>
        <v>0</v>
      </c>
      <c r="R783" s="32">
        <f t="shared" si="321"/>
        <v>0</v>
      </c>
      <c r="S783" s="32">
        <f t="shared" si="321"/>
        <v>0</v>
      </c>
      <c r="T783" s="32">
        <f t="shared" si="321"/>
        <v>0</v>
      </c>
      <c r="U783" s="32">
        <f t="shared" si="321"/>
        <v>0</v>
      </c>
      <c r="V783" s="32">
        <f t="shared" si="321"/>
        <v>0</v>
      </c>
      <c r="W783" s="32">
        <f t="shared" si="321"/>
        <v>0</v>
      </c>
      <c r="X783" s="32">
        <f t="shared" si="321"/>
        <v>0</v>
      </c>
      <c r="Y783" s="32">
        <f t="shared" si="321"/>
        <v>0</v>
      </c>
      <c r="Z783" s="32">
        <f t="shared" si="321"/>
        <v>0</v>
      </c>
      <c r="AA783" s="32">
        <f t="shared" si="321"/>
        <v>0</v>
      </c>
      <c r="AB783" s="32">
        <f t="shared" si="321"/>
        <v>0</v>
      </c>
      <c r="AC783" s="32">
        <f t="shared" si="321"/>
        <v>172064.79</v>
      </c>
      <c r="AD783" s="32">
        <f t="shared" si="321"/>
        <v>330000</v>
      </c>
      <c r="AE783" s="32">
        <f t="shared" si="321"/>
        <v>0</v>
      </c>
      <c r="AF783" s="77" t="s">
        <v>801</v>
      </c>
      <c r="AG783" s="77" t="s">
        <v>801</v>
      </c>
      <c r="AH783" s="107" t="s">
        <v>801</v>
      </c>
      <c r="AT783" s="21" t="e">
        <f t="shared" si="311"/>
        <v>#N/A</v>
      </c>
    </row>
    <row r="784" spans="1:46" ht="61.5" x14ac:dyDescent="0.85">
      <c r="A784" s="21">
        <v>1</v>
      </c>
      <c r="B784" s="70">
        <f>SUBTOTAL(103,$A$535:A784)</f>
        <v>236</v>
      </c>
      <c r="C784" s="25" t="s">
        <v>241</v>
      </c>
      <c r="D784" s="32">
        <f t="shared" ref="D784:D787" si="322">E784+F784+G784+H784+I784+J784+L784+N784+P784+R784+T784+U784+V784+W784+X784+Y784+Z784+AA784+AB784+AC784+AD784+AE784</f>
        <v>7695900</v>
      </c>
      <c r="E784" s="32">
        <v>0</v>
      </c>
      <c r="F784" s="32">
        <v>0</v>
      </c>
      <c r="G784" s="32">
        <v>0</v>
      </c>
      <c r="H784" s="32">
        <v>0</v>
      </c>
      <c r="I784" s="32">
        <v>0</v>
      </c>
      <c r="J784" s="32">
        <v>0</v>
      </c>
      <c r="K784" s="34">
        <v>0</v>
      </c>
      <c r="L784" s="32">
        <v>0</v>
      </c>
      <c r="M784" s="32">
        <v>1509</v>
      </c>
      <c r="N784" s="32">
        <v>7404827.5899999999</v>
      </c>
      <c r="O784" s="32">
        <v>0</v>
      </c>
      <c r="P784" s="32">
        <v>0</v>
      </c>
      <c r="Q784" s="32">
        <v>0</v>
      </c>
      <c r="R784" s="32">
        <v>0</v>
      </c>
      <c r="S784" s="32">
        <v>0</v>
      </c>
      <c r="T784" s="32">
        <v>0</v>
      </c>
      <c r="U784" s="32">
        <v>0</v>
      </c>
      <c r="V784" s="32">
        <v>0</v>
      </c>
      <c r="W784" s="32">
        <v>0</v>
      </c>
      <c r="X784" s="32">
        <v>0</v>
      </c>
      <c r="Y784" s="32">
        <v>0</v>
      </c>
      <c r="Z784" s="32">
        <v>0</v>
      </c>
      <c r="AA784" s="32">
        <v>0</v>
      </c>
      <c r="AB784" s="32">
        <v>0</v>
      </c>
      <c r="AC784" s="32">
        <f t="shared" ref="AC784:AC785" si="323">ROUND(N784*1.5%,2)</f>
        <v>111072.41</v>
      </c>
      <c r="AD784" s="32">
        <v>180000</v>
      </c>
      <c r="AE784" s="32">
        <v>0</v>
      </c>
      <c r="AF784" s="35">
        <v>2021</v>
      </c>
      <c r="AG784" s="35">
        <v>2021</v>
      </c>
      <c r="AH784" s="36">
        <v>2021</v>
      </c>
      <c r="AT784" s="21">
        <f t="shared" si="311"/>
        <v>1</v>
      </c>
    </row>
    <row r="785" spans="1:46" ht="61.5" x14ac:dyDescent="0.85">
      <c r="A785" s="21">
        <v>1</v>
      </c>
      <c r="B785" s="70">
        <f>SUBTOTAL(103,$A$535:A785)</f>
        <v>237</v>
      </c>
      <c r="C785" s="25" t="s">
        <v>246</v>
      </c>
      <c r="D785" s="32">
        <f t="shared" si="322"/>
        <v>4277150.91</v>
      </c>
      <c r="E785" s="32">
        <v>0</v>
      </c>
      <c r="F785" s="32">
        <v>0</v>
      </c>
      <c r="G785" s="32">
        <v>0</v>
      </c>
      <c r="H785" s="32">
        <v>0</v>
      </c>
      <c r="I785" s="32">
        <v>0</v>
      </c>
      <c r="J785" s="32">
        <v>0</v>
      </c>
      <c r="K785" s="34">
        <v>0</v>
      </c>
      <c r="L785" s="32">
        <v>0</v>
      </c>
      <c r="M785" s="32">
        <v>641</v>
      </c>
      <c r="N785" s="32">
        <v>4066158.53</v>
      </c>
      <c r="O785" s="32">
        <v>0</v>
      </c>
      <c r="P785" s="32">
        <v>0</v>
      </c>
      <c r="Q785" s="32">
        <v>0</v>
      </c>
      <c r="R785" s="32">
        <v>0</v>
      </c>
      <c r="S785" s="32">
        <v>0</v>
      </c>
      <c r="T785" s="32">
        <v>0</v>
      </c>
      <c r="U785" s="32">
        <v>0</v>
      </c>
      <c r="V785" s="32">
        <v>0</v>
      </c>
      <c r="W785" s="32">
        <v>0</v>
      </c>
      <c r="X785" s="32">
        <v>0</v>
      </c>
      <c r="Y785" s="32">
        <v>0</v>
      </c>
      <c r="Z785" s="32">
        <v>0</v>
      </c>
      <c r="AA785" s="32">
        <v>0</v>
      </c>
      <c r="AB785" s="32">
        <v>0</v>
      </c>
      <c r="AC785" s="32">
        <f t="shared" si="323"/>
        <v>60992.38</v>
      </c>
      <c r="AD785" s="32">
        <v>150000</v>
      </c>
      <c r="AE785" s="32">
        <v>0</v>
      </c>
      <c r="AF785" s="35">
        <v>2021</v>
      </c>
      <c r="AG785" s="35">
        <v>2021</v>
      </c>
      <c r="AH785" s="36">
        <v>2021</v>
      </c>
      <c r="AT785" s="21" t="e">
        <f t="shared" si="311"/>
        <v>#N/A</v>
      </c>
    </row>
    <row r="786" spans="1:46" ht="61.5" x14ac:dyDescent="0.85">
      <c r="B786" s="25" t="s">
        <v>1376</v>
      </c>
      <c r="C786" s="25"/>
      <c r="D786" s="32">
        <f>D787</f>
        <v>3284631.43</v>
      </c>
      <c r="E786" s="32">
        <f t="shared" ref="E786:AE786" si="324">E787</f>
        <v>0</v>
      </c>
      <c r="F786" s="32">
        <f t="shared" si="324"/>
        <v>0</v>
      </c>
      <c r="G786" s="32">
        <f t="shared" si="324"/>
        <v>0</v>
      </c>
      <c r="H786" s="32">
        <f t="shared" si="324"/>
        <v>0</v>
      </c>
      <c r="I786" s="32">
        <f t="shared" si="324"/>
        <v>0</v>
      </c>
      <c r="J786" s="32">
        <f t="shared" si="324"/>
        <v>0</v>
      </c>
      <c r="K786" s="34">
        <f t="shared" si="324"/>
        <v>0</v>
      </c>
      <c r="L786" s="32">
        <f t="shared" si="324"/>
        <v>0</v>
      </c>
      <c r="M786" s="32">
        <f t="shared" si="324"/>
        <v>0</v>
      </c>
      <c r="N786" s="32">
        <f t="shared" si="324"/>
        <v>0</v>
      </c>
      <c r="O786" s="32">
        <f t="shared" si="324"/>
        <v>0</v>
      </c>
      <c r="P786" s="32">
        <f t="shared" si="324"/>
        <v>0</v>
      </c>
      <c r="Q786" s="32">
        <f t="shared" si="324"/>
        <v>842.36</v>
      </c>
      <c r="R786" s="32">
        <f t="shared" si="324"/>
        <v>3088306.83</v>
      </c>
      <c r="S786" s="32">
        <f t="shared" si="324"/>
        <v>0</v>
      </c>
      <c r="T786" s="32">
        <f t="shared" si="324"/>
        <v>0</v>
      </c>
      <c r="U786" s="32">
        <f t="shared" si="324"/>
        <v>0</v>
      </c>
      <c r="V786" s="32">
        <f t="shared" si="324"/>
        <v>0</v>
      </c>
      <c r="W786" s="32">
        <f t="shared" si="324"/>
        <v>0</v>
      </c>
      <c r="X786" s="32">
        <f t="shared" si="324"/>
        <v>0</v>
      </c>
      <c r="Y786" s="32">
        <f t="shared" si="324"/>
        <v>0</v>
      </c>
      <c r="Z786" s="32">
        <f t="shared" si="324"/>
        <v>0</v>
      </c>
      <c r="AA786" s="32">
        <f t="shared" si="324"/>
        <v>0</v>
      </c>
      <c r="AB786" s="32">
        <f t="shared" si="324"/>
        <v>0</v>
      </c>
      <c r="AC786" s="32">
        <f t="shared" si="324"/>
        <v>46324.6</v>
      </c>
      <c r="AD786" s="32">
        <f t="shared" si="324"/>
        <v>150000</v>
      </c>
      <c r="AE786" s="32">
        <f t="shared" si="324"/>
        <v>0</v>
      </c>
      <c r="AF786" s="77" t="s">
        <v>801</v>
      </c>
      <c r="AG786" s="77" t="s">
        <v>801</v>
      </c>
      <c r="AH786" s="107" t="s">
        <v>801</v>
      </c>
      <c r="AT786" s="21" t="e">
        <f t="shared" si="311"/>
        <v>#N/A</v>
      </c>
    </row>
    <row r="787" spans="1:46" ht="61.5" x14ac:dyDescent="0.85">
      <c r="A787" s="21">
        <v>1</v>
      </c>
      <c r="B787" s="70">
        <f>SUBTOTAL(103,$A$535:A787)</f>
        <v>238</v>
      </c>
      <c r="C787" s="25" t="s">
        <v>1377</v>
      </c>
      <c r="D787" s="32">
        <f t="shared" si="322"/>
        <v>3284631.43</v>
      </c>
      <c r="E787" s="32">
        <v>0</v>
      </c>
      <c r="F787" s="32">
        <v>0</v>
      </c>
      <c r="G787" s="32">
        <v>0</v>
      </c>
      <c r="H787" s="32">
        <v>0</v>
      </c>
      <c r="I787" s="32">
        <v>0</v>
      </c>
      <c r="J787" s="32">
        <v>0</v>
      </c>
      <c r="K787" s="34">
        <v>0</v>
      </c>
      <c r="L787" s="32">
        <v>0</v>
      </c>
      <c r="M787" s="32">
        <v>0</v>
      </c>
      <c r="N787" s="32">
        <v>0</v>
      </c>
      <c r="O787" s="32">
        <v>0</v>
      </c>
      <c r="P787" s="32">
        <v>0</v>
      </c>
      <c r="Q787" s="32">
        <v>842.36</v>
      </c>
      <c r="R787" s="32">
        <v>3088306.83</v>
      </c>
      <c r="S787" s="32">
        <v>0</v>
      </c>
      <c r="T787" s="32">
        <v>0</v>
      </c>
      <c r="U787" s="32">
        <v>0</v>
      </c>
      <c r="V787" s="32">
        <v>0</v>
      </c>
      <c r="W787" s="32">
        <v>0</v>
      </c>
      <c r="X787" s="32">
        <v>0</v>
      </c>
      <c r="Y787" s="32">
        <v>0</v>
      </c>
      <c r="Z787" s="32">
        <v>0</v>
      </c>
      <c r="AA787" s="32">
        <v>0</v>
      </c>
      <c r="AB787" s="32">
        <v>0</v>
      </c>
      <c r="AC787" s="32">
        <f>ROUND(R787*1.5%,2)</f>
        <v>46324.6</v>
      </c>
      <c r="AD787" s="32">
        <v>150000</v>
      </c>
      <c r="AE787" s="32">
        <v>0</v>
      </c>
      <c r="AF787" s="35">
        <v>2021</v>
      </c>
      <c r="AG787" s="35">
        <v>2021</v>
      </c>
      <c r="AH787" s="36">
        <v>2021</v>
      </c>
    </row>
    <row r="788" spans="1:46" ht="61.5" x14ac:dyDescent="0.85">
      <c r="B788" s="25" t="s">
        <v>919</v>
      </c>
      <c r="C788" s="25"/>
      <c r="D788" s="32">
        <f t="shared" ref="D788:AE788" si="325">SUM(D789)</f>
        <v>2255220</v>
      </c>
      <c r="E788" s="32">
        <f t="shared" si="325"/>
        <v>0</v>
      </c>
      <c r="F788" s="32">
        <f t="shared" si="325"/>
        <v>0</v>
      </c>
      <c r="G788" s="32">
        <f t="shared" si="325"/>
        <v>0</v>
      </c>
      <c r="H788" s="32">
        <f t="shared" si="325"/>
        <v>0</v>
      </c>
      <c r="I788" s="32">
        <f t="shared" si="325"/>
        <v>0</v>
      </c>
      <c r="J788" s="32">
        <f t="shared" si="325"/>
        <v>0</v>
      </c>
      <c r="K788" s="34">
        <f t="shared" si="325"/>
        <v>0</v>
      </c>
      <c r="L788" s="32">
        <f t="shared" si="325"/>
        <v>0</v>
      </c>
      <c r="M788" s="32">
        <f t="shared" si="325"/>
        <v>442.2</v>
      </c>
      <c r="N788" s="32">
        <f t="shared" si="325"/>
        <v>2103665.02</v>
      </c>
      <c r="O788" s="32">
        <f t="shared" si="325"/>
        <v>0</v>
      </c>
      <c r="P788" s="32">
        <f t="shared" si="325"/>
        <v>0</v>
      </c>
      <c r="Q788" s="32">
        <f t="shared" si="325"/>
        <v>0</v>
      </c>
      <c r="R788" s="32">
        <f t="shared" si="325"/>
        <v>0</v>
      </c>
      <c r="S788" s="32">
        <f t="shared" si="325"/>
        <v>0</v>
      </c>
      <c r="T788" s="32">
        <f t="shared" si="325"/>
        <v>0</v>
      </c>
      <c r="U788" s="32">
        <f t="shared" si="325"/>
        <v>0</v>
      </c>
      <c r="V788" s="32">
        <f t="shared" si="325"/>
        <v>0</v>
      </c>
      <c r="W788" s="32">
        <f t="shared" si="325"/>
        <v>0</v>
      </c>
      <c r="X788" s="32">
        <f t="shared" si="325"/>
        <v>0</v>
      </c>
      <c r="Y788" s="32">
        <f t="shared" si="325"/>
        <v>0</v>
      </c>
      <c r="Z788" s="32">
        <f t="shared" si="325"/>
        <v>0</v>
      </c>
      <c r="AA788" s="32">
        <f t="shared" si="325"/>
        <v>0</v>
      </c>
      <c r="AB788" s="32">
        <f t="shared" si="325"/>
        <v>0</v>
      </c>
      <c r="AC788" s="32">
        <f t="shared" si="325"/>
        <v>31554.98</v>
      </c>
      <c r="AD788" s="32">
        <f t="shared" si="325"/>
        <v>120000</v>
      </c>
      <c r="AE788" s="32">
        <f t="shared" si="325"/>
        <v>0</v>
      </c>
      <c r="AF788" s="77" t="s">
        <v>801</v>
      </c>
      <c r="AG788" s="77" t="s">
        <v>801</v>
      </c>
      <c r="AH788" s="107" t="s">
        <v>801</v>
      </c>
      <c r="AT788" s="21" t="e">
        <f t="shared" ref="AT788:AT819" si="326">VLOOKUP(C788,AW:AX,2,FALSE)</f>
        <v>#N/A</v>
      </c>
    </row>
    <row r="789" spans="1:46" ht="61.5" x14ac:dyDescent="0.85">
      <c r="A789" s="21">
        <v>1</v>
      </c>
      <c r="B789" s="70">
        <f>SUBTOTAL(103,$A$535:A789)</f>
        <v>239</v>
      </c>
      <c r="C789" s="25" t="s">
        <v>248</v>
      </c>
      <c r="D789" s="32">
        <f t="shared" ref="D789" si="327">E789+F789+G789+H789+I789+J789+L789+N789+P789+R789+T789+U789+V789+W789+X789+Y789+Z789+AA789+AB789+AC789+AD789+AE789</f>
        <v>2255220</v>
      </c>
      <c r="E789" s="32">
        <v>0</v>
      </c>
      <c r="F789" s="32">
        <v>0</v>
      </c>
      <c r="G789" s="32">
        <v>0</v>
      </c>
      <c r="H789" s="32">
        <v>0</v>
      </c>
      <c r="I789" s="32">
        <v>0</v>
      </c>
      <c r="J789" s="32">
        <v>0</v>
      </c>
      <c r="K789" s="34">
        <v>0</v>
      </c>
      <c r="L789" s="32">
        <v>0</v>
      </c>
      <c r="M789" s="32">
        <v>442.2</v>
      </c>
      <c r="N789" s="32">
        <v>2103665.02</v>
      </c>
      <c r="O789" s="32">
        <v>0</v>
      </c>
      <c r="P789" s="32">
        <v>0</v>
      </c>
      <c r="Q789" s="32">
        <v>0</v>
      </c>
      <c r="R789" s="32">
        <v>0</v>
      </c>
      <c r="S789" s="32">
        <v>0</v>
      </c>
      <c r="T789" s="32">
        <v>0</v>
      </c>
      <c r="U789" s="32">
        <v>0</v>
      </c>
      <c r="V789" s="32">
        <v>0</v>
      </c>
      <c r="W789" s="32">
        <v>0</v>
      </c>
      <c r="X789" s="32">
        <v>0</v>
      </c>
      <c r="Y789" s="32">
        <v>0</v>
      </c>
      <c r="Z789" s="32">
        <v>0</v>
      </c>
      <c r="AA789" s="32">
        <v>0</v>
      </c>
      <c r="AB789" s="32">
        <v>0</v>
      </c>
      <c r="AC789" s="32">
        <f>ROUND(N789*1.5%,2)</f>
        <v>31554.98</v>
      </c>
      <c r="AD789" s="32">
        <v>120000</v>
      </c>
      <c r="AE789" s="32">
        <v>0</v>
      </c>
      <c r="AF789" s="35">
        <v>2021</v>
      </c>
      <c r="AG789" s="35">
        <v>2021</v>
      </c>
      <c r="AH789" s="36">
        <v>2021</v>
      </c>
      <c r="AT789" s="21" t="e">
        <f t="shared" si="326"/>
        <v>#N/A</v>
      </c>
    </row>
    <row r="790" spans="1:46" ht="61.5" x14ac:dyDescent="0.85">
      <c r="B790" s="25" t="s">
        <v>920</v>
      </c>
      <c r="C790" s="111"/>
      <c r="D790" s="32">
        <f t="shared" ref="D790:AE790" si="328">D791</f>
        <v>2610900</v>
      </c>
      <c r="E790" s="32">
        <f t="shared" si="328"/>
        <v>0</v>
      </c>
      <c r="F790" s="32">
        <f t="shared" si="328"/>
        <v>0</v>
      </c>
      <c r="G790" s="32">
        <f t="shared" si="328"/>
        <v>0</v>
      </c>
      <c r="H790" s="32">
        <f t="shared" si="328"/>
        <v>0</v>
      </c>
      <c r="I790" s="32">
        <f t="shared" si="328"/>
        <v>0</v>
      </c>
      <c r="J790" s="32">
        <f t="shared" si="328"/>
        <v>0</v>
      </c>
      <c r="K790" s="34">
        <f t="shared" si="328"/>
        <v>0</v>
      </c>
      <c r="L790" s="32">
        <f t="shared" si="328"/>
        <v>0</v>
      </c>
      <c r="M790" s="32">
        <f t="shared" si="328"/>
        <v>500</v>
      </c>
      <c r="N790" s="32">
        <f t="shared" si="328"/>
        <v>2454088.67</v>
      </c>
      <c r="O790" s="32">
        <f t="shared" si="328"/>
        <v>0</v>
      </c>
      <c r="P790" s="32">
        <f t="shared" si="328"/>
        <v>0</v>
      </c>
      <c r="Q790" s="32">
        <f t="shared" si="328"/>
        <v>0</v>
      </c>
      <c r="R790" s="32">
        <f t="shared" si="328"/>
        <v>0</v>
      </c>
      <c r="S790" s="32">
        <f t="shared" si="328"/>
        <v>0</v>
      </c>
      <c r="T790" s="32">
        <f t="shared" si="328"/>
        <v>0</v>
      </c>
      <c r="U790" s="32">
        <f t="shared" si="328"/>
        <v>0</v>
      </c>
      <c r="V790" s="32">
        <f t="shared" si="328"/>
        <v>0</v>
      </c>
      <c r="W790" s="32">
        <f t="shared" si="328"/>
        <v>0</v>
      </c>
      <c r="X790" s="32">
        <f t="shared" si="328"/>
        <v>0</v>
      </c>
      <c r="Y790" s="32">
        <f t="shared" si="328"/>
        <v>0</v>
      </c>
      <c r="Z790" s="32">
        <f t="shared" si="328"/>
        <v>0</v>
      </c>
      <c r="AA790" s="32">
        <f t="shared" si="328"/>
        <v>0</v>
      </c>
      <c r="AB790" s="32">
        <f t="shared" si="328"/>
        <v>0</v>
      </c>
      <c r="AC790" s="32">
        <f t="shared" si="328"/>
        <v>36811.33</v>
      </c>
      <c r="AD790" s="32">
        <f t="shared" si="328"/>
        <v>120000</v>
      </c>
      <c r="AE790" s="32">
        <f t="shared" si="328"/>
        <v>0</v>
      </c>
      <c r="AF790" s="77" t="s">
        <v>801</v>
      </c>
      <c r="AG790" s="77" t="s">
        <v>801</v>
      </c>
      <c r="AH790" s="107" t="s">
        <v>801</v>
      </c>
      <c r="AT790" s="21" t="e">
        <f t="shared" si="326"/>
        <v>#N/A</v>
      </c>
    </row>
    <row r="791" spans="1:46" ht="61.5" x14ac:dyDescent="0.85">
      <c r="A791" s="21">
        <v>1</v>
      </c>
      <c r="B791" s="70">
        <f>SUBTOTAL(103,$A$535:A791)</f>
        <v>240</v>
      </c>
      <c r="C791" s="26" t="s">
        <v>2</v>
      </c>
      <c r="D791" s="32">
        <f t="shared" ref="D791" si="329">E791+F791+G791+H791+I791+J791+L791+N791+P791+R791+T791+U791+V791+W791+X791+Y791+Z791+AA791+AB791+AC791+AD791+AE791</f>
        <v>2610900</v>
      </c>
      <c r="E791" s="32">
        <v>0</v>
      </c>
      <c r="F791" s="32">
        <v>0</v>
      </c>
      <c r="G791" s="32">
        <v>0</v>
      </c>
      <c r="H791" s="32">
        <v>0</v>
      </c>
      <c r="I791" s="32">
        <v>0</v>
      </c>
      <c r="J791" s="32">
        <v>0</v>
      </c>
      <c r="K791" s="34">
        <v>0</v>
      </c>
      <c r="L791" s="32">
        <v>0</v>
      </c>
      <c r="M791" s="32">
        <v>500</v>
      </c>
      <c r="N791" s="32">
        <v>2454088.67</v>
      </c>
      <c r="O791" s="32">
        <v>0</v>
      </c>
      <c r="P791" s="32">
        <v>0</v>
      </c>
      <c r="Q791" s="32">
        <v>0</v>
      </c>
      <c r="R791" s="32">
        <v>0</v>
      </c>
      <c r="S791" s="32">
        <v>0</v>
      </c>
      <c r="T791" s="32">
        <v>0</v>
      </c>
      <c r="U791" s="32">
        <v>0</v>
      </c>
      <c r="V791" s="32">
        <v>0</v>
      </c>
      <c r="W791" s="32">
        <v>0</v>
      </c>
      <c r="X791" s="32">
        <v>0</v>
      </c>
      <c r="Y791" s="32">
        <v>0</v>
      </c>
      <c r="Z791" s="32">
        <v>0</v>
      </c>
      <c r="AA791" s="32">
        <v>0</v>
      </c>
      <c r="AB791" s="32">
        <v>0</v>
      </c>
      <c r="AC791" s="32">
        <f>ROUND(N791*1.5%,2)</f>
        <v>36811.33</v>
      </c>
      <c r="AD791" s="32">
        <v>120000</v>
      </c>
      <c r="AE791" s="32">
        <v>0</v>
      </c>
      <c r="AF791" s="35">
        <v>2021</v>
      </c>
      <c r="AG791" s="35">
        <v>2021</v>
      </c>
      <c r="AH791" s="36">
        <v>2021</v>
      </c>
      <c r="AT791" s="21" t="e">
        <f t="shared" si="326"/>
        <v>#N/A</v>
      </c>
    </row>
    <row r="792" spans="1:46" ht="61.5" x14ac:dyDescent="0.85">
      <c r="B792" s="25" t="s">
        <v>921</v>
      </c>
      <c r="C792" s="26"/>
      <c r="D792" s="32">
        <f t="shared" ref="D792:AE792" si="330">D793</f>
        <v>3133080</v>
      </c>
      <c r="E792" s="32">
        <f t="shared" si="330"/>
        <v>0</v>
      </c>
      <c r="F792" s="32">
        <f t="shared" si="330"/>
        <v>0</v>
      </c>
      <c r="G792" s="32">
        <f t="shared" si="330"/>
        <v>0</v>
      </c>
      <c r="H792" s="32">
        <f t="shared" si="330"/>
        <v>0</v>
      </c>
      <c r="I792" s="32">
        <f t="shared" si="330"/>
        <v>0</v>
      </c>
      <c r="J792" s="32">
        <f t="shared" si="330"/>
        <v>0</v>
      </c>
      <c r="K792" s="34">
        <f t="shared" si="330"/>
        <v>0</v>
      </c>
      <c r="L792" s="32">
        <f t="shared" si="330"/>
        <v>0</v>
      </c>
      <c r="M792" s="32">
        <f t="shared" si="330"/>
        <v>600</v>
      </c>
      <c r="N792" s="32">
        <f t="shared" si="330"/>
        <v>2938995.07</v>
      </c>
      <c r="O792" s="32">
        <f t="shared" si="330"/>
        <v>0</v>
      </c>
      <c r="P792" s="32">
        <f t="shared" si="330"/>
        <v>0</v>
      </c>
      <c r="Q792" s="32">
        <f t="shared" si="330"/>
        <v>0</v>
      </c>
      <c r="R792" s="32">
        <f t="shared" si="330"/>
        <v>0</v>
      </c>
      <c r="S792" s="32">
        <f t="shared" si="330"/>
        <v>0</v>
      </c>
      <c r="T792" s="32">
        <f t="shared" si="330"/>
        <v>0</v>
      </c>
      <c r="U792" s="32">
        <f t="shared" si="330"/>
        <v>0</v>
      </c>
      <c r="V792" s="32">
        <f t="shared" si="330"/>
        <v>0</v>
      </c>
      <c r="W792" s="32">
        <f t="shared" si="330"/>
        <v>0</v>
      </c>
      <c r="X792" s="32">
        <f t="shared" si="330"/>
        <v>0</v>
      </c>
      <c r="Y792" s="32">
        <f t="shared" si="330"/>
        <v>0</v>
      </c>
      <c r="Z792" s="32">
        <f t="shared" si="330"/>
        <v>0</v>
      </c>
      <c r="AA792" s="32">
        <f t="shared" si="330"/>
        <v>0</v>
      </c>
      <c r="AB792" s="32">
        <f t="shared" si="330"/>
        <v>0</v>
      </c>
      <c r="AC792" s="32">
        <f t="shared" si="330"/>
        <v>44084.93</v>
      </c>
      <c r="AD792" s="32">
        <f t="shared" si="330"/>
        <v>150000</v>
      </c>
      <c r="AE792" s="32">
        <f t="shared" si="330"/>
        <v>0</v>
      </c>
      <c r="AF792" s="77" t="s">
        <v>801</v>
      </c>
      <c r="AG792" s="77" t="s">
        <v>801</v>
      </c>
      <c r="AH792" s="107" t="s">
        <v>801</v>
      </c>
      <c r="AT792" s="21" t="e">
        <f t="shared" si="326"/>
        <v>#N/A</v>
      </c>
    </row>
    <row r="793" spans="1:46" ht="61.5" x14ac:dyDescent="0.85">
      <c r="A793" s="21">
        <v>1</v>
      </c>
      <c r="B793" s="70">
        <f>SUBTOTAL(103,$A$535:A793)</f>
        <v>241</v>
      </c>
      <c r="C793" s="26" t="s">
        <v>1</v>
      </c>
      <c r="D793" s="32">
        <f t="shared" ref="D793" si="331">E793+F793+G793+H793+I793+J793+L793+N793+P793+R793+T793+U793+V793+W793+X793+Y793+Z793+AA793+AB793+AC793+AD793+AE793</f>
        <v>3133080</v>
      </c>
      <c r="E793" s="32">
        <v>0</v>
      </c>
      <c r="F793" s="32">
        <v>0</v>
      </c>
      <c r="G793" s="32">
        <v>0</v>
      </c>
      <c r="H793" s="32">
        <v>0</v>
      </c>
      <c r="I793" s="32">
        <v>0</v>
      </c>
      <c r="J793" s="32">
        <v>0</v>
      </c>
      <c r="K793" s="34">
        <v>0</v>
      </c>
      <c r="L793" s="32">
        <v>0</v>
      </c>
      <c r="M793" s="32">
        <v>600</v>
      </c>
      <c r="N793" s="32">
        <v>2938995.07</v>
      </c>
      <c r="O793" s="32">
        <v>0</v>
      </c>
      <c r="P793" s="32">
        <v>0</v>
      </c>
      <c r="Q793" s="32">
        <v>0</v>
      </c>
      <c r="R793" s="32">
        <v>0</v>
      </c>
      <c r="S793" s="32">
        <v>0</v>
      </c>
      <c r="T793" s="32">
        <v>0</v>
      </c>
      <c r="U793" s="32">
        <v>0</v>
      </c>
      <c r="V793" s="32">
        <v>0</v>
      </c>
      <c r="W793" s="32">
        <v>0</v>
      </c>
      <c r="X793" s="32">
        <v>0</v>
      </c>
      <c r="Y793" s="32">
        <v>0</v>
      </c>
      <c r="Z793" s="32">
        <v>0</v>
      </c>
      <c r="AA793" s="32">
        <v>0</v>
      </c>
      <c r="AB793" s="32">
        <v>0</v>
      </c>
      <c r="AC793" s="32">
        <f>ROUND(N793*1.5%,2)</f>
        <v>44084.93</v>
      </c>
      <c r="AD793" s="32">
        <v>150000</v>
      </c>
      <c r="AE793" s="32">
        <v>0</v>
      </c>
      <c r="AF793" s="35">
        <v>2021</v>
      </c>
      <c r="AG793" s="35">
        <v>2021</v>
      </c>
      <c r="AH793" s="36">
        <v>2021</v>
      </c>
      <c r="AT793" s="21" t="e">
        <f t="shared" si="326"/>
        <v>#N/A</v>
      </c>
    </row>
    <row r="794" spans="1:46" ht="61.5" x14ac:dyDescent="0.85">
      <c r="B794" s="25" t="s">
        <v>880</v>
      </c>
      <c r="C794" s="110"/>
      <c r="D794" s="32">
        <f t="shared" ref="D794:AE794" si="332">D795</f>
        <v>7250046.1200000001</v>
      </c>
      <c r="E794" s="32">
        <f t="shared" si="332"/>
        <v>0</v>
      </c>
      <c r="F794" s="32">
        <f t="shared" si="332"/>
        <v>0</v>
      </c>
      <c r="G794" s="32">
        <f t="shared" si="332"/>
        <v>0</v>
      </c>
      <c r="H794" s="32">
        <f t="shared" si="332"/>
        <v>0</v>
      </c>
      <c r="I794" s="32">
        <f t="shared" si="332"/>
        <v>0</v>
      </c>
      <c r="J794" s="32">
        <f t="shared" si="332"/>
        <v>0</v>
      </c>
      <c r="K794" s="34">
        <f t="shared" si="332"/>
        <v>0</v>
      </c>
      <c r="L794" s="32">
        <f t="shared" si="332"/>
        <v>0</v>
      </c>
      <c r="M794" s="32">
        <f t="shared" si="332"/>
        <v>2000</v>
      </c>
      <c r="N794" s="32">
        <f t="shared" si="332"/>
        <v>6995119.3300000001</v>
      </c>
      <c r="O794" s="32">
        <f t="shared" si="332"/>
        <v>0</v>
      </c>
      <c r="P794" s="32">
        <f t="shared" si="332"/>
        <v>0</v>
      </c>
      <c r="Q794" s="32">
        <f t="shared" si="332"/>
        <v>0</v>
      </c>
      <c r="R794" s="32">
        <f t="shared" si="332"/>
        <v>0</v>
      </c>
      <c r="S794" s="32">
        <f t="shared" si="332"/>
        <v>0</v>
      </c>
      <c r="T794" s="32">
        <f t="shared" si="332"/>
        <v>0</v>
      </c>
      <c r="U794" s="32">
        <f t="shared" si="332"/>
        <v>0</v>
      </c>
      <c r="V794" s="32">
        <f t="shared" si="332"/>
        <v>0</v>
      </c>
      <c r="W794" s="32">
        <f t="shared" si="332"/>
        <v>0</v>
      </c>
      <c r="X794" s="32">
        <f t="shared" si="332"/>
        <v>0</v>
      </c>
      <c r="Y794" s="32">
        <f t="shared" si="332"/>
        <v>0</v>
      </c>
      <c r="Z794" s="32">
        <f t="shared" si="332"/>
        <v>0</v>
      </c>
      <c r="AA794" s="32">
        <f t="shared" si="332"/>
        <v>0</v>
      </c>
      <c r="AB794" s="32">
        <f t="shared" si="332"/>
        <v>0</v>
      </c>
      <c r="AC794" s="32">
        <f t="shared" si="332"/>
        <v>104926.79</v>
      </c>
      <c r="AD794" s="32">
        <f t="shared" si="332"/>
        <v>150000</v>
      </c>
      <c r="AE794" s="32">
        <f t="shared" si="332"/>
        <v>0</v>
      </c>
      <c r="AF794" s="77" t="s">
        <v>801</v>
      </c>
      <c r="AG794" s="77" t="s">
        <v>801</v>
      </c>
      <c r="AH794" s="107" t="s">
        <v>801</v>
      </c>
      <c r="AT794" s="21" t="e">
        <f t="shared" si="326"/>
        <v>#N/A</v>
      </c>
    </row>
    <row r="795" spans="1:46" ht="61.5" x14ac:dyDescent="0.85">
      <c r="A795" s="21">
        <v>1</v>
      </c>
      <c r="B795" s="70">
        <f>SUBTOTAL(103,$A$535:A795)</f>
        <v>242</v>
      </c>
      <c r="C795" s="25" t="s">
        <v>743</v>
      </c>
      <c r="D795" s="32">
        <f t="shared" ref="D795" si="333">E795+F795+G795+H795+I795+J795+L795+N795+P795+R795+T795+U795+V795+W795+X795+Y795+Z795+AA795+AB795+AC795+AD795+AE795</f>
        <v>7250046.1200000001</v>
      </c>
      <c r="E795" s="32">
        <v>0</v>
      </c>
      <c r="F795" s="32">
        <v>0</v>
      </c>
      <c r="G795" s="32">
        <v>0</v>
      </c>
      <c r="H795" s="32">
        <v>0</v>
      </c>
      <c r="I795" s="32">
        <v>0</v>
      </c>
      <c r="J795" s="32">
        <v>0</v>
      </c>
      <c r="K795" s="34">
        <v>0</v>
      </c>
      <c r="L795" s="32">
        <v>0</v>
      </c>
      <c r="M795" s="32">
        <v>2000</v>
      </c>
      <c r="N795" s="32">
        <v>6995119.3300000001</v>
      </c>
      <c r="O795" s="32">
        <v>0</v>
      </c>
      <c r="P795" s="32">
        <v>0</v>
      </c>
      <c r="Q795" s="32">
        <v>0</v>
      </c>
      <c r="R795" s="32">
        <v>0</v>
      </c>
      <c r="S795" s="32">
        <v>0</v>
      </c>
      <c r="T795" s="32">
        <v>0</v>
      </c>
      <c r="U795" s="32">
        <v>0</v>
      </c>
      <c r="V795" s="32">
        <v>0</v>
      </c>
      <c r="W795" s="32">
        <v>0</v>
      </c>
      <c r="X795" s="32">
        <v>0</v>
      </c>
      <c r="Y795" s="32">
        <v>0</v>
      </c>
      <c r="Z795" s="32">
        <v>0</v>
      </c>
      <c r="AA795" s="32">
        <v>0</v>
      </c>
      <c r="AB795" s="32">
        <v>0</v>
      </c>
      <c r="AC795" s="32">
        <f>ROUND(N795*1.5%,2)</f>
        <v>104926.79</v>
      </c>
      <c r="AD795" s="32">
        <v>150000</v>
      </c>
      <c r="AE795" s="32">
        <v>0</v>
      </c>
      <c r="AF795" s="35">
        <v>2021</v>
      </c>
      <c r="AG795" s="35">
        <v>2021</v>
      </c>
      <c r="AH795" s="36">
        <v>2021</v>
      </c>
      <c r="AT795" s="21" t="e">
        <f t="shared" si="326"/>
        <v>#N/A</v>
      </c>
    </row>
    <row r="796" spans="1:46" ht="61.5" x14ac:dyDescent="0.85">
      <c r="B796" s="25" t="s">
        <v>922</v>
      </c>
      <c r="C796" s="25"/>
      <c r="D796" s="32">
        <f t="shared" ref="D796:AE796" si="334">D797</f>
        <v>2259013.8299999996</v>
      </c>
      <c r="E796" s="32">
        <f t="shared" si="334"/>
        <v>0</v>
      </c>
      <c r="F796" s="32">
        <f t="shared" si="334"/>
        <v>0</v>
      </c>
      <c r="G796" s="32">
        <f t="shared" si="334"/>
        <v>0</v>
      </c>
      <c r="H796" s="32">
        <f t="shared" si="334"/>
        <v>0</v>
      </c>
      <c r="I796" s="32">
        <f t="shared" si="334"/>
        <v>0</v>
      </c>
      <c r="J796" s="32">
        <f t="shared" si="334"/>
        <v>0</v>
      </c>
      <c r="K796" s="34">
        <f t="shared" si="334"/>
        <v>0</v>
      </c>
      <c r="L796" s="32">
        <f t="shared" si="334"/>
        <v>0</v>
      </c>
      <c r="M796" s="32">
        <f t="shared" si="334"/>
        <v>600</v>
      </c>
      <c r="N796" s="32">
        <f t="shared" si="334"/>
        <v>2097550.5699999998</v>
      </c>
      <c r="O796" s="32">
        <f t="shared" si="334"/>
        <v>0</v>
      </c>
      <c r="P796" s="32">
        <f t="shared" si="334"/>
        <v>0</v>
      </c>
      <c r="Q796" s="32">
        <f t="shared" si="334"/>
        <v>0</v>
      </c>
      <c r="R796" s="32">
        <f t="shared" si="334"/>
        <v>0</v>
      </c>
      <c r="S796" s="32">
        <f t="shared" si="334"/>
        <v>0</v>
      </c>
      <c r="T796" s="32">
        <f t="shared" si="334"/>
        <v>0</v>
      </c>
      <c r="U796" s="32">
        <f t="shared" si="334"/>
        <v>0</v>
      </c>
      <c r="V796" s="32">
        <f t="shared" si="334"/>
        <v>0</v>
      </c>
      <c r="W796" s="32">
        <f t="shared" si="334"/>
        <v>0</v>
      </c>
      <c r="X796" s="32">
        <f t="shared" si="334"/>
        <v>0</v>
      </c>
      <c r="Y796" s="32">
        <f t="shared" si="334"/>
        <v>0</v>
      </c>
      <c r="Z796" s="32">
        <f t="shared" si="334"/>
        <v>0</v>
      </c>
      <c r="AA796" s="32">
        <f t="shared" si="334"/>
        <v>0</v>
      </c>
      <c r="AB796" s="32">
        <f t="shared" si="334"/>
        <v>0</v>
      </c>
      <c r="AC796" s="32">
        <f t="shared" si="334"/>
        <v>31463.26</v>
      </c>
      <c r="AD796" s="32">
        <f t="shared" si="334"/>
        <v>130000</v>
      </c>
      <c r="AE796" s="32">
        <f t="shared" si="334"/>
        <v>0</v>
      </c>
      <c r="AF796" s="77" t="s">
        <v>801</v>
      </c>
      <c r="AG796" s="77" t="s">
        <v>801</v>
      </c>
      <c r="AH796" s="107" t="s">
        <v>801</v>
      </c>
      <c r="AT796" s="21" t="e">
        <f t="shared" si="326"/>
        <v>#N/A</v>
      </c>
    </row>
    <row r="797" spans="1:46" ht="61.5" x14ac:dyDescent="0.85">
      <c r="A797" s="21">
        <v>1</v>
      </c>
      <c r="B797" s="70">
        <f>SUBTOTAL(103,$A$535:A797)</f>
        <v>243</v>
      </c>
      <c r="C797" s="25" t="s">
        <v>749</v>
      </c>
      <c r="D797" s="32">
        <f t="shared" ref="D797" si="335">E797+F797+G797+H797+I797+J797+L797+N797+P797+R797+T797+U797+V797+W797+X797+Y797+Z797+AA797+AB797+AC797+AD797+AE797</f>
        <v>2259013.8299999996</v>
      </c>
      <c r="E797" s="32">
        <v>0</v>
      </c>
      <c r="F797" s="32">
        <v>0</v>
      </c>
      <c r="G797" s="32">
        <v>0</v>
      </c>
      <c r="H797" s="32">
        <v>0</v>
      </c>
      <c r="I797" s="32">
        <v>0</v>
      </c>
      <c r="J797" s="32">
        <v>0</v>
      </c>
      <c r="K797" s="34">
        <v>0</v>
      </c>
      <c r="L797" s="32">
        <v>0</v>
      </c>
      <c r="M797" s="32">
        <v>600</v>
      </c>
      <c r="N797" s="32">
        <v>2097550.5699999998</v>
      </c>
      <c r="O797" s="32">
        <v>0</v>
      </c>
      <c r="P797" s="32">
        <v>0</v>
      </c>
      <c r="Q797" s="32">
        <v>0</v>
      </c>
      <c r="R797" s="32">
        <v>0</v>
      </c>
      <c r="S797" s="32">
        <v>0</v>
      </c>
      <c r="T797" s="32">
        <v>0</v>
      </c>
      <c r="U797" s="32">
        <v>0</v>
      </c>
      <c r="V797" s="32">
        <v>0</v>
      </c>
      <c r="W797" s="32">
        <v>0</v>
      </c>
      <c r="X797" s="32">
        <v>0</v>
      </c>
      <c r="Y797" s="32">
        <v>0</v>
      </c>
      <c r="Z797" s="32">
        <v>0</v>
      </c>
      <c r="AA797" s="32">
        <v>0</v>
      </c>
      <c r="AB797" s="32">
        <v>0</v>
      </c>
      <c r="AC797" s="32">
        <f>ROUND(N797*1.5%,2)</f>
        <v>31463.26</v>
      </c>
      <c r="AD797" s="32">
        <v>130000</v>
      </c>
      <c r="AE797" s="32">
        <v>0</v>
      </c>
      <c r="AF797" s="35">
        <v>2021</v>
      </c>
      <c r="AG797" s="35">
        <v>2021</v>
      </c>
      <c r="AH797" s="36">
        <v>2021</v>
      </c>
      <c r="AT797" s="21" t="e">
        <f t="shared" si="326"/>
        <v>#N/A</v>
      </c>
    </row>
    <row r="798" spans="1:46" ht="61.5" x14ac:dyDescent="0.85">
      <c r="B798" s="25" t="s">
        <v>881</v>
      </c>
      <c r="C798" s="25"/>
      <c r="D798" s="32">
        <f t="shared" ref="D798:AE798" si="336">D799</f>
        <v>2622646.19</v>
      </c>
      <c r="E798" s="32">
        <f t="shared" si="336"/>
        <v>0</v>
      </c>
      <c r="F798" s="32">
        <f t="shared" si="336"/>
        <v>0</v>
      </c>
      <c r="G798" s="32">
        <f t="shared" si="336"/>
        <v>0</v>
      </c>
      <c r="H798" s="32">
        <f t="shared" si="336"/>
        <v>0</v>
      </c>
      <c r="I798" s="32">
        <f t="shared" si="336"/>
        <v>0</v>
      </c>
      <c r="J798" s="32">
        <f t="shared" si="336"/>
        <v>0</v>
      </c>
      <c r="K798" s="34">
        <f t="shared" si="336"/>
        <v>0</v>
      </c>
      <c r="L798" s="32">
        <f t="shared" si="336"/>
        <v>0</v>
      </c>
      <c r="M798" s="32">
        <f t="shared" si="336"/>
        <v>702</v>
      </c>
      <c r="N798" s="32">
        <f t="shared" si="336"/>
        <v>2455809.0499999998</v>
      </c>
      <c r="O798" s="32">
        <f t="shared" si="336"/>
        <v>0</v>
      </c>
      <c r="P798" s="32">
        <f t="shared" si="336"/>
        <v>0</v>
      </c>
      <c r="Q798" s="32">
        <f t="shared" si="336"/>
        <v>0</v>
      </c>
      <c r="R798" s="32">
        <f t="shared" si="336"/>
        <v>0</v>
      </c>
      <c r="S798" s="32">
        <f t="shared" si="336"/>
        <v>0</v>
      </c>
      <c r="T798" s="32">
        <f t="shared" si="336"/>
        <v>0</v>
      </c>
      <c r="U798" s="32">
        <f t="shared" si="336"/>
        <v>0</v>
      </c>
      <c r="V798" s="32">
        <f t="shared" si="336"/>
        <v>0</v>
      </c>
      <c r="W798" s="32">
        <f t="shared" si="336"/>
        <v>0</v>
      </c>
      <c r="X798" s="32">
        <f t="shared" si="336"/>
        <v>0</v>
      </c>
      <c r="Y798" s="32">
        <f t="shared" si="336"/>
        <v>0</v>
      </c>
      <c r="Z798" s="32">
        <f t="shared" si="336"/>
        <v>0</v>
      </c>
      <c r="AA798" s="32">
        <f t="shared" si="336"/>
        <v>0</v>
      </c>
      <c r="AB798" s="32">
        <f t="shared" si="336"/>
        <v>0</v>
      </c>
      <c r="AC798" s="32">
        <f t="shared" si="336"/>
        <v>36837.14</v>
      </c>
      <c r="AD798" s="32">
        <f t="shared" si="336"/>
        <v>130000</v>
      </c>
      <c r="AE798" s="32">
        <f t="shared" si="336"/>
        <v>0</v>
      </c>
      <c r="AF798" s="77" t="s">
        <v>801</v>
      </c>
      <c r="AG798" s="77" t="s">
        <v>801</v>
      </c>
      <c r="AH798" s="107" t="s">
        <v>801</v>
      </c>
      <c r="AT798" s="21" t="e">
        <f t="shared" si="326"/>
        <v>#N/A</v>
      </c>
    </row>
    <row r="799" spans="1:46" ht="61.5" x14ac:dyDescent="0.85">
      <c r="A799" s="21">
        <v>1</v>
      </c>
      <c r="B799" s="70">
        <f>SUBTOTAL(103,$A$535:A799)</f>
        <v>244</v>
      </c>
      <c r="C799" s="25" t="s">
        <v>746</v>
      </c>
      <c r="D799" s="32">
        <f t="shared" ref="D799" si="337">E799+F799+G799+H799+I799+J799+L799+N799+P799+R799+T799+U799+V799+W799+X799+Y799+Z799+AA799+AB799+AC799+AD799+AE799</f>
        <v>2622646.19</v>
      </c>
      <c r="E799" s="32">
        <v>0</v>
      </c>
      <c r="F799" s="32">
        <v>0</v>
      </c>
      <c r="G799" s="32">
        <v>0</v>
      </c>
      <c r="H799" s="32">
        <v>0</v>
      </c>
      <c r="I799" s="32">
        <v>0</v>
      </c>
      <c r="J799" s="32">
        <v>0</v>
      </c>
      <c r="K799" s="34">
        <v>0</v>
      </c>
      <c r="L799" s="32">
        <v>0</v>
      </c>
      <c r="M799" s="32">
        <v>702</v>
      </c>
      <c r="N799" s="32">
        <v>2455809.0499999998</v>
      </c>
      <c r="O799" s="32">
        <v>0</v>
      </c>
      <c r="P799" s="32">
        <v>0</v>
      </c>
      <c r="Q799" s="32">
        <v>0</v>
      </c>
      <c r="R799" s="32">
        <v>0</v>
      </c>
      <c r="S799" s="32">
        <v>0</v>
      </c>
      <c r="T799" s="32">
        <v>0</v>
      </c>
      <c r="U799" s="32">
        <v>0</v>
      </c>
      <c r="V799" s="32">
        <v>0</v>
      </c>
      <c r="W799" s="32">
        <v>0</v>
      </c>
      <c r="X799" s="32">
        <v>0</v>
      </c>
      <c r="Y799" s="32">
        <v>0</v>
      </c>
      <c r="Z799" s="32">
        <v>0</v>
      </c>
      <c r="AA799" s="32">
        <v>0</v>
      </c>
      <c r="AB799" s="32">
        <v>0</v>
      </c>
      <c r="AC799" s="32">
        <f>ROUND(N799*1.5%,2)</f>
        <v>36837.14</v>
      </c>
      <c r="AD799" s="32">
        <v>130000</v>
      </c>
      <c r="AE799" s="32">
        <v>0</v>
      </c>
      <c r="AF799" s="35">
        <v>2021</v>
      </c>
      <c r="AG799" s="35">
        <v>2021</v>
      </c>
      <c r="AH799" s="36">
        <v>2021</v>
      </c>
      <c r="AT799" s="21" t="e">
        <f t="shared" si="326"/>
        <v>#N/A</v>
      </c>
    </row>
    <row r="800" spans="1:46" ht="61.5" x14ac:dyDescent="0.85">
      <c r="B800" s="25" t="s">
        <v>883</v>
      </c>
      <c r="C800" s="110"/>
      <c r="D800" s="32">
        <f t="shared" ref="D800:AE800" si="338">SUM(D801:D808)</f>
        <v>29283340</v>
      </c>
      <c r="E800" s="32">
        <f t="shared" si="338"/>
        <v>0</v>
      </c>
      <c r="F800" s="32">
        <f t="shared" si="338"/>
        <v>0</v>
      </c>
      <c r="G800" s="32">
        <f t="shared" si="338"/>
        <v>0</v>
      </c>
      <c r="H800" s="32">
        <f t="shared" si="338"/>
        <v>0</v>
      </c>
      <c r="I800" s="32">
        <f t="shared" si="338"/>
        <v>0</v>
      </c>
      <c r="J800" s="32">
        <f t="shared" si="338"/>
        <v>0</v>
      </c>
      <c r="K800" s="34">
        <f t="shared" si="338"/>
        <v>0</v>
      </c>
      <c r="L800" s="32">
        <f t="shared" si="338"/>
        <v>0</v>
      </c>
      <c r="M800" s="32">
        <f t="shared" si="338"/>
        <v>6038.4199999999992</v>
      </c>
      <c r="N800" s="32">
        <f t="shared" si="338"/>
        <v>27668315.270000003</v>
      </c>
      <c r="O800" s="32">
        <f t="shared" si="338"/>
        <v>0</v>
      </c>
      <c r="P800" s="32">
        <f t="shared" si="338"/>
        <v>0</v>
      </c>
      <c r="Q800" s="32">
        <f t="shared" si="338"/>
        <v>0</v>
      </c>
      <c r="R800" s="32">
        <f t="shared" si="338"/>
        <v>0</v>
      </c>
      <c r="S800" s="32">
        <f t="shared" si="338"/>
        <v>0</v>
      </c>
      <c r="T800" s="32">
        <f t="shared" si="338"/>
        <v>0</v>
      </c>
      <c r="U800" s="32">
        <f t="shared" si="338"/>
        <v>0</v>
      </c>
      <c r="V800" s="32">
        <f t="shared" si="338"/>
        <v>0</v>
      </c>
      <c r="W800" s="32">
        <f t="shared" si="338"/>
        <v>0</v>
      </c>
      <c r="X800" s="32">
        <f t="shared" si="338"/>
        <v>0</v>
      </c>
      <c r="Y800" s="32">
        <f t="shared" si="338"/>
        <v>0</v>
      </c>
      <c r="Z800" s="32">
        <f t="shared" si="338"/>
        <v>0</v>
      </c>
      <c r="AA800" s="32">
        <f t="shared" si="338"/>
        <v>0</v>
      </c>
      <c r="AB800" s="32">
        <f t="shared" si="338"/>
        <v>0</v>
      </c>
      <c r="AC800" s="32">
        <f t="shared" si="338"/>
        <v>415024.73</v>
      </c>
      <c r="AD800" s="32">
        <f t="shared" si="338"/>
        <v>1200000</v>
      </c>
      <c r="AE800" s="32">
        <f t="shared" si="338"/>
        <v>0</v>
      </c>
      <c r="AF800" s="77" t="s">
        <v>801</v>
      </c>
      <c r="AG800" s="77" t="s">
        <v>801</v>
      </c>
      <c r="AH800" s="107" t="s">
        <v>801</v>
      </c>
      <c r="AT800" s="21" t="e">
        <f t="shared" si="326"/>
        <v>#N/A</v>
      </c>
    </row>
    <row r="801" spans="1:46" ht="61.5" x14ac:dyDescent="0.85">
      <c r="A801" s="21">
        <v>1</v>
      </c>
      <c r="B801" s="70">
        <f>SUBTOTAL(103,$A$535:A801)</f>
        <v>245</v>
      </c>
      <c r="C801" s="25" t="s">
        <v>125</v>
      </c>
      <c r="D801" s="32">
        <f t="shared" ref="D801:D808" si="339">E801+F801+G801+H801+I801+J801+L801+N801+P801+R801+T801+U801+V801+W801+X801+Y801+Z801+AA801+AB801+AC801+AD801+AE801</f>
        <v>3312500</v>
      </c>
      <c r="E801" s="32">
        <v>0</v>
      </c>
      <c r="F801" s="32">
        <v>0</v>
      </c>
      <c r="G801" s="32">
        <v>0</v>
      </c>
      <c r="H801" s="32">
        <v>0</v>
      </c>
      <c r="I801" s="32">
        <v>0</v>
      </c>
      <c r="J801" s="32">
        <v>0</v>
      </c>
      <c r="K801" s="34">
        <v>0</v>
      </c>
      <c r="L801" s="32">
        <v>0</v>
      </c>
      <c r="M801" s="32">
        <v>662.5</v>
      </c>
      <c r="N801" s="32">
        <v>3115763.55</v>
      </c>
      <c r="O801" s="32">
        <v>0</v>
      </c>
      <c r="P801" s="32">
        <v>0</v>
      </c>
      <c r="Q801" s="32">
        <v>0</v>
      </c>
      <c r="R801" s="32">
        <v>0</v>
      </c>
      <c r="S801" s="32">
        <v>0</v>
      </c>
      <c r="T801" s="32">
        <v>0</v>
      </c>
      <c r="U801" s="32">
        <v>0</v>
      </c>
      <c r="V801" s="32">
        <v>0</v>
      </c>
      <c r="W801" s="32">
        <v>0</v>
      </c>
      <c r="X801" s="32">
        <v>0</v>
      </c>
      <c r="Y801" s="32">
        <v>0</v>
      </c>
      <c r="Z801" s="32">
        <v>0</v>
      </c>
      <c r="AA801" s="32">
        <v>0</v>
      </c>
      <c r="AB801" s="32">
        <v>0</v>
      </c>
      <c r="AC801" s="32">
        <f t="shared" ref="AC801:AC808" si="340">ROUND(N801*1.5%,2)</f>
        <v>46736.45</v>
      </c>
      <c r="AD801" s="32">
        <v>150000</v>
      </c>
      <c r="AE801" s="32">
        <v>0</v>
      </c>
      <c r="AF801" s="35">
        <v>2021</v>
      </c>
      <c r="AG801" s="35">
        <v>2021</v>
      </c>
      <c r="AH801" s="36">
        <v>2021</v>
      </c>
      <c r="AT801" s="21" t="e">
        <f t="shared" si="326"/>
        <v>#N/A</v>
      </c>
    </row>
    <row r="802" spans="1:46" ht="61.5" x14ac:dyDescent="0.85">
      <c r="A802" s="21">
        <v>1</v>
      </c>
      <c r="B802" s="70">
        <f>SUBTOTAL(103,$A$535:A802)</f>
        <v>246</v>
      </c>
      <c r="C802" s="25" t="s">
        <v>130</v>
      </c>
      <c r="D802" s="32">
        <f t="shared" si="339"/>
        <v>3771000</v>
      </c>
      <c r="E802" s="32">
        <v>0</v>
      </c>
      <c r="F802" s="32">
        <v>0</v>
      </c>
      <c r="G802" s="32">
        <v>0</v>
      </c>
      <c r="H802" s="32">
        <v>0</v>
      </c>
      <c r="I802" s="32">
        <v>0</v>
      </c>
      <c r="J802" s="32">
        <v>0</v>
      </c>
      <c r="K802" s="34">
        <v>0</v>
      </c>
      <c r="L802" s="32">
        <v>0</v>
      </c>
      <c r="M802" s="32">
        <v>754.2</v>
      </c>
      <c r="N802" s="32">
        <v>3567487.68</v>
      </c>
      <c r="O802" s="32">
        <v>0</v>
      </c>
      <c r="P802" s="32">
        <v>0</v>
      </c>
      <c r="Q802" s="32">
        <v>0</v>
      </c>
      <c r="R802" s="32">
        <v>0</v>
      </c>
      <c r="S802" s="32">
        <v>0</v>
      </c>
      <c r="T802" s="32">
        <v>0</v>
      </c>
      <c r="U802" s="32">
        <v>0</v>
      </c>
      <c r="V802" s="32">
        <v>0</v>
      </c>
      <c r="W802" s="32">
        <v>0</v>
      </c>
      <c r="X802" s="32">
        <v>0</v>
      </c>
      <c r="Y802" s="32">
        <v>0</v>
      </c>
      <c r="Z802" s="32">
        <v>0</v>
      </c>
      <c r="AA802" s="32">
        <v>0</v>
      </c>
      <c r="AB802" s="32">
        <v>0</v>
      </c>
      <c r="AC802" s="32">
        <f t="shared" si="340"/>
        <v>53512.32</v>
      </c>
      <c r="AD802" s="32">
        <v>150000</v>
      </c>
      <c r="AE802" s="32">
        <v>0</v>
      </c>
      <c r="AF802" s="35">
        <v>2021</v>
      </c>
      <c r="AG802" s="35">
        <v>2021</v>
      </c>
      <c r="AH802" s="36">
        <v>2021</v>
      </c>
      <c r="AT802" s="21" t="e">
        <f t="shared" si="326"/>
        <v>#N/A</v>
      </c>
    </row>
    <row r="803" spans="1:46" ht="61.5" x14ac:dyDescent="0.85">
      <c r="A803" s="21">
        <v>1</v>
      </c>
      <c r="B803" s="70">
        <f>SUBTOTAL(103,$A$535:A803)</f>
        <v>247</v>
      </c>
      <c r="C803" s="25" t="s">
        <v>128</v>
      </c>
      <c r="D803" s="32">
        <f t="shared" si="339"/>
        <v>4430000</v>
      </c>
      <c r="E803" s="32">
        <v>0</v>
      </c>
      <c r="F803" s="32">
        <v>0</v>
      </c>
      <c r="G803" s="32">
        <v>0</v>
      </c>
      <c r="H803" s="32">
        <v>0</v>
      </c>
      <c r="I803" s="32">
        <v>0</v>
      </c>
      <c r="J803" s="32">
        <v>0</v>
      </c>
      <c r="K803" s="34">
        <v>0</v>
      </c>
      <c r="L803" s="32">
        <v>0</v>
      </c>
      <c r="M803" s="32">
        <v>886</v>
      </c>
      <c r="N803" s="32">
        <v>4216748.7699999996</v>
      </c>
      <c r="O803" s="32">
        <v>0</v>
      </c>
      <c r="P803" s="32">
        <v>0</v>
      </c>
      <c r="Q803" s="32">
        <v>0</v>
      </c>
      <c r="R803" s="32">
        <v>0</v>
      </c>
      <c r="S803" s="32">
        <v>0</v>
      </c>
      <c r="T803" s="32">
        <v>0</v>
      </c>
      <c r="U803" s="32">
        <v>0</v>
      </c>
      <c r="V803" s="32">
        <v>0</v>
      </c>
      <c r="W803" s="32">
        <v>0</v>
      </c>
      <c r="X803" s="32">
        <v>0</v>
      </c>
      <c r="Y803" s="32">
        <v>0</v>
      </c>
      <c r="Z803" s="32">
        <v>0</v>
      </c>
      <c r="AA803" s="32">
        <v>0</v>
      </c>
      <c r="AB803" s="32">
        <v>0</v>
      </c>
      <c r="AC803" s="32">
        <f t="shared" si="340"/>
        <v>63251.23</v>
      </c>
      <c r="AD803" s="32">
        <v>150000</v>
      </c>
      <c r="AE803" s="32">
        <v>0</v>
      </c>
      <c r="AF803" s="35">
        <v>2021</v>
      </c>
      <c r="AG803" s="35">
        <v>2021</v>
      </c>
      <c r="AH803" s="36">
        <v>2021</v>
      </c>
      <c r="AT803" s="21" t="e">
        <f t="shared" si="326"/>
        <v>#N/A</v>
      </c>
    </row>
    <row r="804" spans="1:46" ht="61.5" x14ac:dyDescent="0.85">
      <c r="A804" s="21">
        <v>1</v>
      </c>
      <c r="B804" s="70">
        <f>SUBTOTAL(103,$A$535:A804)</f>
        <v>248</v>
      </c>
      <c r="C804" s="25" t="s">
        <v>131</v>
      </c>
      <c r="D804" s="32">
        <f t="shared" si="339"/>
        <v>3350000</v>
      </c>
      <c r="E804" s="32">
        <v>0</v>
      </c>
      <c r="F804" s="32">
        <v>0</v>
      </c>
      <c r="G804" s="32">
        <v>0</v>
      </c>
      <c r="H804" s="32">
        <v>0</v>
      </c>
      <c r="I804" s="32">
        <v>0</v>
      </c>
      <c r="J804" s="32">
        <v>0</v>
      </c>
      <c r="K804" s="34">
        <v>0</v>
      </c>
      <c r="L804" s="32">
        <v>0</v>
      </c>
      <c r="M804" s="32">
        <v>670</v>
      </c>
      <c r="N804" s="32">
        <v>3152709.36</v>
      </c>
      <c r="O804" s="32">
        <v>0</v>
      </c>
      <c r="P804" s="32">
        <v>0</v>
      </c>
      <c r="Q804" s="32">
        <v>0</v>
      </c>
      <c r="R804" s="32">
        <v>0</v>
      </c>
      <c r="S804" s="32">
        <v>0</v>
      </c>
      <c r="T804" s="32">
        <v>0</v>
      </c>
      <c r="U804" s="32">
        <v>0</v>
      </c>
      <c r="V804" s="32">
        <v>0</v>
      </c>
      <c r="W804" s="32">
        <v>0</v>
      </c>
      <c r="X804" s="32">
        <v>0</v>
      </c>
      <c r="Y804" s="32">
        <v>0</v>
      </c>
      <c r="Z804" s="32">
        <v>0</v>
      </c>
      <c r="AA804" s="32">
        <v>0</v>
      </c>
      <c r="AB804" s="32">
        <v>0</v>
      </c>
      <c r="AC804" s="32">
        <f t="shared" si="340"/>
        <v>47290.64</v>
      </c>
      <c r="AD804" s="32">
        <v>150000</v>
      </c>
      <c r="AE804" s="32">
        <v>0</v>
      </c>
      <c r="AF804" s="35">
        <v>2021</v>
      </c>
      <c r="AG804" s="35">
        <v>2021</v>
      </c>
      <c r="AH804" s="36">
        <v>2021</v>
      </c>
      <c r="AT804" s="21">
        <f t="shared" si="326"/>
        <v>1</v>
      </c>
    </row>
    <row r="805" spans="1:46" ht="61.5" x14ac:dyDescent="0.85">
      <c r="A805" s="21">
        <v>1</v>
      </c>
      <c r="B805" s="70">
        <f>SUBTOTAL(103,$A$535:A805)</f>
        <v>249</v>
      </c>
      <c r="C805" s="25" t="s">
        <v>129</v>
      </c>
      <c r="D805" s="32">
        <f t="shared" si="339"/>
        <v>3080600</v>
      </c>
      <c r="E805" s="32">
        <v>0</v>
      </c>
      <c r="F805" s="32">
        <v>0</v>
      </c>
      <c r="G805" s="32">
        <v>0</v>
      </c>
      <c r="H805" s="32">
        <v>0</v>
      </c>
      <c r="I805" s="32">
        <v>0</v>
      </c>
      <c r="J805" s="32">
        <v>0</v>
      </c>
      <c r="K805" s="34">
        <v>0</v>
      </c>
      <c r="L805" s="32">
        <v>0</v>
      </c>
      <c r="M805" s="32">
        <v>616.12</v>
      </c>
      <c r="N805" s="32">
        <v>2887290.64</v>
      </c>
      <c r="O805" s="32">
        <v>0</v>
      </c>
      <c r="P805" s="32">
        <v>0</v>
      </c>
      <c r="Q805" s="32">
        <v>0</v>
      </c>
      <c r="R805" s="32">
        <v>0</v>
      </c>
      <c r="S805" s="32">
        <v>0</v>
      </c>
      <c r="T805" s="32">
        <v>0</v>
      </c>
      <c r="U805" s="32">
        <v>0</v>
      </c>
      <c r="V805" s="32">
        <v>0</v>
      </c>
      <c r="W805" s="32">
        <v>0</v>
      </c>
      <c r="X805" s="32">
        <v>0</v>
      </c>
      <c r="Y805" s="32">
        <v>0</v>
      </c>
      <c r="Z805" s="32">
        <v>0</v>
      </c>
      <c r="AA805" s="32">
        <v>0</v>
      </c>
      <c r="AB805" s="32">
        <v>0</v>
      </c>
      <c r="AC805" s="32">
        <f t="shared" si="340"/>
        <v>43309.36</v>
      </c>
      <c r="AD805" s="32">
        <v>150000</v>
      </c>
      <c r="AE805" s="32">
        <v>0</v>
      </c>
      <c r="AF805" s="35">
        <v>2021</v>
      </c>
      <c r="AG805" s="35">
        <v>2021</v>
      </c>
      <c r="AH805" s="36">
        <v>2021</v>
      </c>
      <c r="AT805" s="21" t="e">
        <f t="shared" si="326"/>
        <v>#N/A</v>
      </c>
    </row>
    <row r="806" spans="1:46" ht="61.5" x14ac:dyDescent="0.85">
      <c r="A806" s="21">
        <v>1</v>
      </c>
      <c r="B806" s="70">
        <f>SUBTOTAL(103,$A$535:A806)</f>
        <v>250</v>
      </c>
      <c r="C806" s="25" t="s">
        <v>126</v>
      </c>
      <c r="D806" s="32">
        <f t="shared" si="339"/>
        <v>3404280</v>
      </c>
      <c r="E806" s="32">
        <v>0</v>
      </c>
      <c r="F806" s="32">
        <v>0</v>
      </c>
      <c r="G806" s="32">
        <v>0</v>
      </c>
      <c r="H806" s="32">
        <v>0</v>
      </c>
      <c r="I806" s="32">
        <v>0</v>
      </c>
      <c r="J806" s="32">
        <v>0</v>
      </c>
      <c r="K806" s="34">
        <v>0</v>
      </c>
      <c r="L806" s="32">
        <v>0</v>
      </c>
      <c r="M806" s="32">
        <v>773.7</v>
      </c>
      <c r="N806" s="32">
        <v>3206187.19</v>
      </c>
      <c r="O806" s="32">
        <v>0</v>
      </c>
      <c r="P806" s="32">
        <v>0</v>
      </c>
      <c r="Q806" s="32">
        <v>0</v>
      </c>
      <c r="R806" s="32">
        <v>0</v>
      </c>
      <c r="S806" s="32">
        <v>0</v>
      </c>
      <c r="T806" s="32">
        <v>0</v>
      </c>
      <c r="U806" s="32">
        <v>0</v>
      </c>
      <c r="V806" s="32">
        <v>0</v>
      </c>
      <c r="W806" s="32">
        <v>0</v>
      </c>
      <c r="X806" s="32">
        <v>0</v>
      </c>
      <c r="Y806" s="32">
        <v>0</v>
      </c>
      <c r="Z806" s="32">
        <v>0</v>
      </c>
      <c r="AA806" s="32">
        <v>0</v>
      </c>
      <c r="AB806" s="32">
        <v>0</v>
      </c>
      <c r="AC806" s="32">
        <f t="shared" si="340"/>
        <v>48092.81</v>
      </c>
      <c r="AD806" s="32">
        <v>150000</v>
      </c>
      <c r="AE806" s="32">
        <v>0</v>
      </c>
      <c r="AF806" s="35">
        <v>2021</v>
      </c>
      <c r="AG806" s="35">
        <v>2021</v>
      </c>
      <c r="AH806" s="36">
        <v>2021</v>
      </c>
      <c r="AT806" s="21" t="e">
        <f t="shared" si="326"/>
        <v>#N/A</v>
      </c>
    </row>
    <row r="807" spans="1:46" ht="61.5" x14ac:dyDescent="0.85">
      <c r="A807" s="21">
        <v>1</v>
      </c>
      <c r="B807" s="70">
        <f>SUBTOTAL(103,$A$535:A807)</f>
        <v>251</v>
      </c>
      <c r="C807" s="25" t="s">
        <v>127</v>
      </c>
      <c r="D807" s="32">
        <f t="shared" si="339"/>
        <v>4675000</v>
      </c>
      <c r="E807" s="32">
        <v>0</v>
      </c>
      <c r="F807" s="32">
        <v>0</v>
      </c>
      <c r="G807" s="32">
        <v>0</v>
      </c>
      <c r="H807" s="32">
        <v>0</v>
      </c>
      <c r="I807" s="32">
        <v>0</v>
      </c>
      <c r="J807" s="32">
        <v>0</v>
      </c>
      <c r="K807" s="34">
        <v>0</v>
      </c>
      <c r="L807" s="32">
        <v>0</v>
      </c>
      <c r="M807" s="32">
        <v>935</v>
      </c>
      <c r="N807" s="32">
        <v>4458128.08</v>
      </c>
      <c r="O807" s="32">
        <v>0</v>
      </c>
      <c r="P807" s="32">
        <v>0</v>
      </c>
      <c r="Q807" s="32">
        <v>0</v>
      </c>
      <c r="R807" s="32">
        <v>0</v>
      </c>
      <c r="S807" s="32">
        <v>0</v>
      </c>
      <c r="T807" s="32">
        <v>0</v>
      </c>
      <c r="U807" s="32">
        <v>0</v>
      </c>
      <c r="V807" s="32">
        <v>0</v>
      </c>
      <c r="W807" s="32">
        <v>0</v>
      </c>
      <c r="X807" s="32">
        <v>0</v>
      </c>
      <c r="Y807" s="32">
        <v>0</v>
      </c>
      <c r="Z807" s="32">
        <v>0</v>
      </c>
      <c r="AA807" s="32">
        <v>0</v>
      </c>
      <c r="AB807" s="32">
        <v>0</v>
      </c>
      <c r="AC807" s="32">
        <f t="shared" si="340"/>
        <v>66871.92</v>
      </c>
      <c r="AD807" s="32">
        <v>150000</v>
      </c>
      <c r="AE807" s="32">
        <v>0</v>
      </c>
      <c r="AF807" s="35">
        <v>2021</v>
      </c>
      <c r="AG807" s="35">
        <v>2021</v>
      </c>
      <c r="AH807" s="36">
        <v>2021</v>
      </c>
      <c r="AT807" s="21" t="e">
        <f t="shared" si="326"/>
        <v>#N/A</v>
      </c>
    </row>
    <row r="808" spans="1:46" ht="61.5" x14ac:dyDescent="0.85">
      <c r="A808" s="21">
        <v>1</v>
      </c>
      <c r="B808" s="70">
        <f>SUBTOTAL(103,$A$535:A808)</f>
        <v>252</v>
      </c>
      <c r="C808" s="25" t="s">
        <v>132</v>
      </c>
      <c r="D808" s="32">
        <f t="shared" si="339"/>
        <v>3259960</v>
      </c>
      <c r="E808" s="32">
        <v>0</v>
      </c>
      <c r="F808" s="32">
        <v>0</v>
      </c>
      <c r="G808" s="32">
        <v>0</v>
      </c>
      <c r="H808" s="32">
        <v>0</v>
      </c>
      <c r="I808" s="32">
        <v>0</v>
      </c>
      <c r="J808" s="32">
        <v>0</v>
      </c>
      <c r="K808" s="34">
        <v>0</v>
      </c>
      <c r="L808" s="32">
        <v>0</v>
      </c>
      <c r="M808" s="32">
        <v>740.9</v>
      </c>
      <c r="N808" s="32">
        <v>3064000</v>
      </c>
      <c r="O808" s="32">
        <v>0</v>
      </c>
      <c r="P808" s="32">
        <v>0</v>
      </c>
      <c r="Q808" s="32">
        <v>0</v>
      </c>
      <c r="R808" s="32">
        <v>0</v>
      </c>
      <c r="S808" s="32">
        <v>0</v>
      </c>
      <c r="T808" s="32">
        <v>0</v>
      </c>
      <c r="U808" s="32">
        <v>0</v>
      </c>
      <c r="V808" s="32">
        <v>0</v>
      </c>
      <c r="W808" s="32">
        <v>0</v>
      </c>
      <c r="X808" s="32">
        <v>0</v>
      </c>
      <c r="Y808" s="32">
        <v>0</v>
      </c>
      <c r="Z808" s="32">
        <v>0</v>
      </c>
      <c r="AA808" s="32">
        <v>0</v>
      </c>
      <c r="AB808" s="32">
        <v>0</v>
      </c>
      <c r="AC808" s="32">
        <f t="shared" si="340"/>
        <v>45960</v>
      </c>
      <c r="AD808" s="32">
        <v>150000</v>
      </c>
      <c r="AE808" s="32">
        <v>0</v>
      </c>
      <c r="AF808" s="35">
        <v>2021</v>
      </c>
      <c r="AG808" s="35">
        <v>2021</v>
      </c>
      <c r="AH808" s="36">
        <v>2021</v>
      </c>
      <c r="AT808" s="21" t="e">
        <f t="shared" si="326"/>
        <v>#N/A</v>
      </c>
    </row>
    <row r="809" spans="1:46" ht="61.5" x14ac:dyDescent="0.85">
      <c r="B809" s="25" t="s">
        <v>888</v>
      </c>
      <c r="C809" s="110"/>
      <c r="D809" s="32">
        <f t="shared" ref="D809:AE809" si="341">D810</f>
        <v>3328825.5</v>
      </c>
      <c r="E809" s="32">
        <f t="shared" si="341"/>
        <v>0</v>
      </c>
      <c r="F809" s="32">
        <f t="shared" si="341"/>
        <v>0</v>
      </c>
      <c r="G809" s="32">
        <f t="shared" si="341"/>
        <v>0</v>
      </c>
      <c r="H809" s="32">
        <f t="shared" si="341"/>
        <v>0</v>
      </c>
      <c r="I809" s="32">
        <f t="shared" si="341"/>
        <v>0</v>
      </c>
      <c r="J809" s="32">
        <f t="shared" si="341"/>
        <v>0</v>
      </c>
      <c r="K809" s="34">
        <f t="shared" si="341"/>
        <v>0</v>
      </c>
      <c r="L809" s="32">
        <f t="shared" si="341"/>
        <v>0</v>
      </c>
      <c r="M809" s="32">
        <f t="shared" si="341"/>
        <v>650</v>
      </c>
      <c r="N809" s="32">
        <f t="shared" si="341"/>
        <v>3131847.78</v>
      </c>
      <c r="O809" s="32">
        <f t="shared" si="341"/>
        <v>0</v>
      </c>
      <c r="P809" s="32">
        <f t="shared" si="341"/>
        <v>0</v>
      </c>
      <c r="Q809" s="32">
        <f t="shared" si="341"/>
        <v>0</v>
      </c>
      <c r="R809" s="32">
        <f t="shared" si="341"/>
        <v>0</v>
      </c>
      <c r="S809" s="32">
        <f t="shared" si="341"/>
        <v>0</v>
      </c>
      <c r="T809" s="32">
        <f t="shared" si="341"/>
        <v>0</v>
      </c>
      <c r="U809" s="32">
        <f t="shared" si="341"/>
        <v>0</v>
      </c>
      <c r="V809" s="32">
        <f t="shared" si="341"/>
        <v>0</v>
      </c>
      <c r="W809" s="32">
        <f t="shared" si="341"/>
        <v>0</v>
      </c>
      <c r="X809" s="32">
        <f t="shared" si="341"/>
        <v>0</v>
      </c>
      <c r="Y809" s="32">
        <f t="shared" si="341"/>
        <v>0</v>
      </c>
      <c r="Z809" s="32">
        <f t="shared" si="341"/>
        <v>0</v>
      </c>
      <c r="AA809" s="32">
        <f t="shared" si="341"/>
        <v>0</v>
      </c>
      <c r="AB809" s="32">
        <f t="shared" si="341"/>
        <v>0</v>
      </c>
      <c r="AC809" s="32">
        <f t="shared" si="341"/>
        <v>46977.72</v>
      </c>
      <c r="AD809" s="32">
        <f t="shared" si="341"/>
        <v>150000</v>
      </c>
      <c r="AE809" s="32">
        <f t="shared" si="341"/>
        <v>0</v>
      </c>
      <c r="AF809" s="77" t="s">
        <v>801</v>
      </c>
      <c r="AG809" s="77" t="s">
        <v>801</v>
      </c>
      <c r="AH809" s="107" t="s">
        <v>801</v>
      </c>
      <c r="AT809" s="21" t="e">
        <f t="shared" si="326"/>
        <v>#N/A</v>
      </c>
    </row>
    <row r="810" spans="1:46" ht="61.5" x14ac:dyDescent="0.85">
      <c r="A810" s="21">
        <v>1</v>
      </c>
      <c r="B810" s="70">
        <f>SUBTOTAL(103,$A$535:A810)</f>
        <v>253</v>
      </c>
      <c r="C810" s="25" t="s">
        <v>181</v>
      </c>
      <c r="D810" s="32">
        <f t="shared" ref="D810" si="342">E810+F810+G810+H810+I810+J810+L810+N810+P810+R810+T810+U810+V810+W810+X810+Y810+Z810+AA810+AB810+AC810+AD810+AE810</f>
        <v>3328825.5</v>
      </c>
      <c r="E810" s="32">
        <v>0</v>
      </c>
      <c r="F810" s="32">
        <v>0</v>
      </c>
      <c r="G810" s="32">
        <v>0</v>
      </c>
      <c r="H810" s="32">
        <v>0</v>
      </c>
      <c r="I810" s="32">
        <v>0</v>
      </c>
      <c r="J810" s="32">
        <v>0</v>
      </c>
      <c r="K810" s="34">
        <v>0</v>
      </c>
      <c r="L810" s="32">
        <v>0</v>
      </c>
      <c r="M810" s="32">
        <v>650</v>
      </c>
      <c r="N810" s="32">
        <v>3131847.78</v>
      </c>
      <c r="O810" s="32">
        <v>0</v>
      </c>
      <c r="P810" s="32">
        <v>0</v>
      </c>
      <c r="Q810" s="32">
        <v>0</v>
      </c>
      <c r="R810" s="32">
        <v>0</v>
      </c>
      <c r="S810" s="32">
        <v>0</v>
      </c>
      <c r="T810" s="32">
        <v>0</v>
      </c>
      <c r="U810" s="32">
        <v>0</v>
      </c>
      <c r="V810" s="32">
        <v>0</v>
      </c>
      <c r="W810" s="32">
        <v>0</v>
      </c>
      <c r="X810" s="32">
        <v>0</v>
      </c>
      <c r="Y810" s="32">
        <v>0</v>
      </c>
      <c r="Z810" s="32">
        <v>0</v>
      </c>
      <c r="AA810" s="32">
        <v>0</v>
      </c>
      <c r="AB810" s="32">
        <v>0</v>
      </c>
      <c r="AC810" s="32">
        <f>ROUND(N810*1.5%,2)</f>
        <v>46977.72</v>
      </c>
      <c r="AD810" s="32">
        <v>150000</v>
      </c>
      <c r="AE810" s="32">
        <v>0</v>
      </c>
      <c r="AF810" s="35">
        <v>2021</v>
      </c>
      <c r="AG810" s="35">
        <v>2021</v>
      </c>
      <c r="AH810" s="36">
        <v>2021</v>
      </c>
      <c r="AT810" s="21" t="e">
        <f t="shared" si="326"/>
        <v>#N/A</v>
      </c>
    </row>
    <row r="811" spans="1:46" ht="61.5" x14ac:dyDescent="0.85">
      <c r="B811" s="25" t="s">
        <v>887</v>
      </c>
      <c r="C811" s="25"/>
      <c r="D811" s="32">
        <f t="shared" ref="D811:AE811" si="343">D812+D813</f>
        <v>5279138.41</v>
      </c>
      <c r="E811" s="32">
        <f t="shared" si="343"/>
        <v>0</v>
      </c>
      <c r="F811" s="32">
        <f t="shared" si="343"/>
        <v>0</v>
      </c>
      <c r="G811" s="32">
        <f t="shared" si="343"/>
        <v>0</v>
      </c>
      <c r="H811" s="32">
        <f t="shared" si="343"/>
        <v>0</v>
      </c>
      <c r="I811" s="32">
        <f t="shared" si="343"/>
        <v>0</v>
      </c>
      <c r="J811" s="32">
        <f t="shared" si="343"/>
        <v>0</v>
      </c>
      <c r="K811" s="34">
        <f t="shared" si="343"/>
        <v>0</v>
      </c>
      <c r="L811" s="32">
        <f t="shared" si="343"/>
        <v>0</v>
      </c>
      <c r="M811" s="32">
        <f t="shared" si="343"/>
        <v>0</v>
      </c>
      <c r="N811" s="32">
        <f t="shared" si="343"/>
        <v>0</v>
      </c>
      <c r="O811" s="32">
        <f t="shared" si="343"/>
        <v>0</v>
      </c>
      <c r="P811" s="32">
        <f t="shared" si="343"/>
        <v>0</v>
      </c>
      <c r="Q811" s="32">
        <f t="shared" si="343"/>
        <v>884.5</v>
      </c>
      <c r="R811" s="32">
        <f t="shared" si="343"/>
        <v>4944963.95</v>
      </c>
      <c r="S811" s="32">
        <f t="shared" si="343"/>
        <v>0</v>
      </c>
      <c r="T811" s="32">
        <f t="shared" si="343"/>
        <v>0</v>
      </c>
      <c r="U811" s="32">
        <f t="shared" si="343"/>
        <v>0</v>
      </c>
      <c r="V811" s="32">
        <f t="shared" si="343"/>
        <v>0</v>
      </c>
      <c r="W811" s="32">
        <f t="shared" si="343"/>
        <v>0</v>
      </c>
      <c r="X811" s="32">
        <f t="shared" si="343"/>
        <v>0</v>
      </c>
      <c r="Y811" s="32">
        <f t="shared" si="343"/>
        <v>0</v>
      </c>
      <c r="Z811" s="32">
        <f t="shared" si="343"/>
        <v>0</v>
      </c>
      <c r="AA811" s="32">
        <f t="shared" si="343"/>
        <v>0</v>
      </c>
      <c r="AB811" s="32">
        <f t="shared" si="343"/>
        <v>0</v>
      </c>
      <c r="AC811" s="32">
        <f t="shared" si="343"/>
        <v>74174.459999999992</v>
      </c>
      <c r="AD811" s="32">
        <f t="shared" si="343"/>
        <v>260000</v>
      </c>
      <c r="AE811" s="32">
        <f t="shared" si="343"/>
        <v>0</v>
      </c>
      <c r="AF811" s="77" t="s">
        <v>801</v>
      </c>
      <c r="AG811" s="77" t="s">
        <v>801</v>
      </c>
      <c r="AH811" s="107" t="s">
        <v>801</v>
      </c>
      <c r="AT811" s="21" t="e">
        <f t="shared" si="326"/>
        <v>#N/A</v>
      </c>
    </row>
    <row r="812" spans="1:46" ht="61.5" x14ac:dyDescent="0.85">
      <c r="A812" s="21">
        <v>1</v>
      </c>
      <c r="B812" s="70">
        <f>SUBTOTAL(103,$A$535:A812)</f>
        <v>254</v>
      </c>
      <c r="C812" s="25" t="s">
        <v>179</v>
      </c>
      <c r="D812" s="32">
        <f t="shared" ref="D812:D813" si="344">E812+F812+G812+H812+I812+J812+L812+N812+P812+R812+T812+U812+V812+W812+X812+Y812+Z812+AA812+AB812+AC812+AD812+AE812</f>
        <v>2721526.66</v>
      </c>
      <c r="E812" s="32">
        <v>0</v>
      </c>
      <c r="F812" s="32">
        <v>0</v>
      </c>
      <c r="G812" s="32">
        <v>0</v>
      </c>
      <c r="H812" s="32">
        <v>0</v>
      </c>
      <c r="I812" s="32">
        <v>0</v>
      </c>
      <c r="J812" s="32">
        <v>0</v>
      </c>
      <c r="K812" s="34">
        <v>0</v>
      </c>
      <c r="L812" s="32">
        <v>0</v>
      </c>
      <c r="M812" s="32">
        <v>0</v>
      </c>
      <c r="N812" s="32">
        <v>0</v>
      </c>
      <c r="O812" s="32">
        <v>0</v>
      </c>
      <c r="P812" s="32">
        <v>0</v>
      </c>
      <c r="Q812" s="32">
        <v>459</v>
      </c>
      <c r="R812" s="32">
        <v>2553228.2400000002</v>
      </c>
      <c r="S812" s="32">
        <v>0</v>
      </c>
      <c r="T812" s="32">
        <v>0</v>
      </c>
      <c r="U812" s="32">
        <v>0</v>
      </c>
      <c r="V812" s="32">
        <v>0</v>
      </c>
      <c r="W812" s="32">
        <v>0</v>
      </c>
      <c r="X812" s="32">
        <v>0</v>
      </c>
      <c r="Y812" s="32">
        <v>0</v>
      </c>
      <c r="Z812" s="32">
        <v>0</v>
      </c>
      <c r="AA812" s="32">
        <v>0</v>
      </c>
      <c r="AB812" s="32">
        <v>0</v>
      </c>
      <c r="AC812" s="32">
        <f t="shared" ref="AC812:AC813" si="345">ROUND(R812*1.5%,2)</f>
        <v>38298.42</v>
      </c>
      <c r="AD812" s="32">
        <v>130000</v>
      </c>
      <c r="AE812" s="32">
        <v>0</v>
      </c>
      <c r="AF812" s="35">
        <v>2021</v>
      </c>
      <c r="AG812" s="35">
        <v>2021</v>
      </c>
      <c r="AH812" s="36">
        <v>2021</v>
      </c>
      <c r="AT812" s="21" t="e">
        <f t="shared" si="326"/>
        <v>#N/A</v>
      </c>
    </row>
    <row r="813" spans="1:46" ht="61.5" x14ac:dyDescent="0.85">
      <c r="A813" s="21">
        <v>1</v>
      </c>
      <c r="B813" s="70">
        <f>SUBTOTAL(103,$A$535:A813)</f>
        <v>255</v>
      </c>
      <c r="C813" s="25" t="s">
        <v>180</v>
      </c>
      <c r="D813" s="32">
        <f t="shared" si="344"/>
        <v>2557611.75</v>
      </c>
      <c r="E813" s="32">
        <v>0</v>
      </c>
      <c r="F813" s="32">
        <v>0</v>
      </c>
      <c r="G813" s="32">
        <v>0</v>
      </c>
      <c r="H813" s="32">
        <v>0</v>
      </c>
      <c r="I813" s="32">
        <v>0</v>
      </c>
      <c r="J813" s="32">
        <v>0</v>
      </c>
      <c r="K813" s="34">
        <v>0</v>
      </c>
      <c r="L813" s="32">
        <v>0</v>
      </c>
      <c r="M813" s="32">
        <v>0</v>
      </c>
      <c r="N813" s="32">
        <v>0</v>
      </c>
      <c r="O813" s="32">
        <v>0</v>
      </c>
      <c r="P813" s="32">
        <v>0</v>
      </c>
      <c r="Q813" s="32">
        <v>425.5</v>
      </c>
      <c r="R813" s="32">
        <v>2391735.71</v>
      </c>
      <c r="S813" s="32">
        <v>0</v>
      </c>
      <c r="T813" s="32">
        <v>0</v>
      </c>
      <c r="U813" s="32">
        <v>0</v>
      </c>
      <c r="V813" s="32">
        <v>0</v>
      </c>
      <c r="W813" s="32">
        <v>0</v>
      </c>
      <c r="X813" s="32">
        <v>0</v>
      </c>
      <c r="Y813" s="32">
        <v>0</v>
      </c>
      <c r="Z813" s="32">
        <v>0</v>
      </c>
      <c r="AA813" s="32">
        <v>0</v>
      </c>
      <c r="AB813" s="32">
        <v>0</v>
      </c>
      <c r="AC813" s="32">
        <f t="shared" si="345"/>
        <v>35876.04</v>
      </c>
      <c r="AD813" s="32">
        <v>130000</v>
      </c>
      <c r="AE813" s="32">
        <v>0</v>
      </c>
      <c r="AF813" s="35">
        <v>2021</v>
      </c>
      <c r="AG813" s="35">
        <v>2021</v>
      </c>
      <c r="AH813" s="36">
        <v>2021</v>
      </c>
      <c r="AT813" s="21" t="e">
        <f t="shared" si="326"/>
        <v>#N/A</v>
      </c>
    </row>
    <row r="814" spans="1:46" ht="61.5" x14ac:dyDescent="0.85">
      <c r="B814" s="25" t="s">
        <v>923</v>
      </c>
      <c r="C814" s="25"/>
      <c r="D814" s="32">
        <f t="shared" ref="D814:AE814" si="346">D815</f>
        <v>4178956.32</v>
      </c>
      <c r="E814" s="32">
        <f t="shared" si="346"/>
        <v>0</v>
      </c>
      <c r="F814" s="32">
        <f t="shared" si="346"/>
        <v>0</v>
      </c>
      <c r="G814" s="32">
        <f t="shared" si="346"/>
        <v>0</v>
      </c>
      <c r="H814" s="32">
        <f t="shared" si="346"/>
        <v>0</v>
      </c>
      <c r="I814" s="32">
        <f t="shared" si="346"/>
        <v>0</v>
      </c>
      <c r="J814" s="32">
        <f t="shared" si="346"/>
        <v>0</v>
      </c>
      <c r="K814" s="34">
        <f t="shared" si="346"/>
        <v>0</v>
      </c>
      <c r="L814" s="32">
        <f t="shared" si="346"/>
        <v>0</v>
      </c>
      <c r="M814" s="32">
        <f t="shared" si="346"/>
        <v>816</v>
      </c>
      <c r="N814" s="32">
        <f t="shared" si="346"/>
        <v>3969415.09</v>
      </c>
      <c r="O814" s="32">
        <f t="shared" si="346"/>
        <v>0</v>
      </c>
      <c r="P814" s="32">
        <f t="shared" si="346"/>
        <v>0</v>
      </c>
      <c r="Q814" s="32">
        <f t="shared" si="346"/>
        <v>0</v>
      </c>
      <c r="R814" s="32">
        <f t="shared" si="346"/>
        <v>0</v>
      </c>
      <c r="S814" s="32">
        <f t="shared" si="346"/>
        <v>0</v>
      </c>
      <c r="T814" s="32">
        <f t="shared" si="346"/>
        <v>0</v>
      </c>
      <c r="U814" s="32">
        <f t="shared" si="346"/>
        <v>0</v>
      </c>
      <c r="V814" s="32">
        <f t="shared" si="346"/>
        <v>0</v>
      </c>
      <c r="W814" s="32">
        <f t="shared" si="346"/>
        <v>0</v>
      </c>
      <c r="X814" s="32">
        <f t="shared" si="346"/>
        <v>0</v>
      </c>
      <c r="Y814" s="32">
        <f t="shared" si="346"/>
        <v>0</v>
      </c>
      <c r="Z814" s="32">
        <f t="shared" si="346"/>
        <v>0</v>
      </c>
      <c r="AA814" s="32">
        <f t="shared" si="346"/>
        <v>0</v>
      </c>
      <c r="AB814" s="32">
        <f t="shared" si="346"/>
        <v>0</v>
      </c>
      <c r="AC814" s="32">
        <f t="shared" si="346"/>
        <v>59541.23</v>
      </c>
      <c r="AD814" s="32">
        <f t="shared" si="346"/>
        <v>150000</v>
      </c>
      <c r="AE814" s="32">
        <f t="shared" si="346"/>
        <v>0</v>
      </c>
      <c r="AF814" s="77" t="s">
        <v>801</v>
      </c>
      <c r="AG814" s="77" t="s">
        <v>801</v>
      </c>
      <c r="AH814" s="107" t="s">
        <v>801</v>
      </c>
      <c r="AT814" s="21" t="e">
        <f t="shared" si="326"/>
        <v>#N/A</v>
      </c>
    </row>
    <row r="815" spans="1:46" ht="61.5" x14ac:dyDescent="0.85">
      <c r="A815" s="21">
        <v>1</v>
      </c>
      <c r="B815" s="70">
        <f>SUBTOTAL(103,$A$535:A815)</f>
        <v>256</v>
      </c>
      <c r="C815" s="25" t="s">
        <v>178</v>
      </c>
      <c r="D815" s="32">
        <f t="shared" ref="D815" si="347">E815+F815+G815+H815+I815+J815+L815+N815+P815+R815+T815+U815+V815+W815+X815+Y815+Z815+AA815+AB815+AC815+AD815+AE815</f>
        <v>4178956.32</v>
      </c>
      <c r="E815" s="32">
        <v>0</v>
      </c>
      <c r="F815" s="32">
        <v>0</v>
      </c>
      <c r="G815" s="32">
        <v>0</v>
      </c>
      <c r="H815" s="32">
        <v>0</v>
      </c>
      <c r="I815" s="32">
        <v>0</v>
      </c>
      <c r="J815" s="32">
        <v>0</v>
      </c>
      <c r="K815" s="34">
        <v>0</v>
      </c>
      <c r="L815" s="32">
        <v>0</v>
      </c>
      <c r="M815" s="32">
        <v>816</v>
      </c>
      <c r="N815" s="32">
        <v>3969415.09</v>
      </c>
      <c r="O815" s="32">
        <v>0</v>
      </c>
      <c r="P815" s="32">
        <v>0</v>
      </c>
      <c r="Q815" s="32">
        <v>0</v>
      </c>
      <c r="R815" s="32">
        <v>0</v>
      </c>
      <c r="S815" s="32">
        <v>0</v>
      </c>
      <c r="T815" s="32">
        <v>0</v>
      </c>
      <c r="U815" s="32">
        <v>0</v>
      </c>
      <c r="V815" s="32">
        <v>0</v>
      </c>
      <c r="W815" s="32">
        <v>0</v>
      </c>
      <c r="X815" s="32">
        <v>0</v>
      </c>
      <c r="Y815" s="32">
        <v>0</v>
      </c>
      <c r="Z815" s="32">
        <v>0</v>
      </c>
      <c r="AA815" s="32">
        <v>0</v>
      </c>
      <c r="AB815" s="32">
        <v>0</v>
      </c>
      <c r="AC815" s="32">
        <f>ROUND(N815*1.5%,2)</f>
        <v>59541.23</v>
      </c>
      <c r="AD815" s="32">
        <v>150000</v>
      </c>
      <c r="AE815" s="32">
        <v>0</v>
      </c>
      <c r="AF815" s="35">
        <v>2021</v>
      </c>
      <c r="AG815" s="35">
        <v>2021</v>
      </c>
      <c r="AH815" s="36">
        <v>2021</v>
      </c>
      <c r="AT815" s="21" t="e">
        <f t="shared" si="326"/>
        <v>#N/A</v>
      </c>
    </row>
    <row r="816" spans="1:46" ht="61.5" x14ac:dyDescent="0.85">
      <c r="B816" s="25" t="s">
        <v>889</v>
      </c>
      <c r="C816" s="25"/>
      <c r="D816" s="32">
        <f t="shared" ref="D816:AE816" si="348">D817</f>
        <v>1889236.5</v>
      </c>
      <c r="E816" s="32">
        <f t="shared" si="348"/>
        <v>0</v>
      </c>
      <c r="F816" s="32">
        <f t="shared" si="348"/>
        <v>0</v>
      </c>
      <c r="G816" s="32">
        <f t="shared" si="348"/>
        <v>0</v>
      </c>
      <c r="H816" s="32">
        <f t="shared" si="348"/>
        <v>0</v>
      </c>
      <c r="I816" s="32">
        <f t="shared" si="348"/>
        <v>0</v>
      </c>
      <c r="J816" s="32">
        <f t="shared" si="348"/>
        <v>0</v>
      </c>
      <c r="K816" s="34">
        <f t="shared" si="348"/>
        <v>0</v>
      </c>
      <c r="L816" s="32">
        <f t="shared" si="348"/>
        <v>0</v>
      </c>
      <c r="M816" s="32">
        <f t="shared" si="348"/>
        <v>368.9</v>
      </c>
      <c r="N816" s="32">
        <f t="shared" si="348"/>
        <v>1743090.15</v>
      </c>
      <c r="O816" s="32">
        <f t="shared" si="348"/>
        <v>0</v>
      </c>
      <c r="P816" s="32">
        <f t="shared" si="348"/>
        <v>0</v>
      </c>
      <c r="Q816" s="32">
        <f t="shared" si="348"/>
        <v>0</v>
      </c>
      <c r="R816" s="32">
        <f t="shared" si="348"/>
        <v>0</v>
      </c>
      <c r="S816" s="32">
        <f t="shared" si="348"/>
        <v>0</v>
      </c>
      <c r="T816" s="32">
        <f t="shared" si="348"/>
        <v>0</v>
      </c>
      <c r="U816" s="32">
        <f t="shared" si="348"/>
        <v>0</v>
      </c>
      <c r="V816" s="32">
        <f t="shared" si="348"/>
        <v>0</v>
      </c>
      <c r="W816" s="32">
        <f t="shared" si="348"/>
        <v>0</v>
      </c>
      <c r="X816" s="32">
        <f t="shared" si="348"/>
        <v>0</v>
      </c>
      <c r="Y816" s="32">
        <f t="shared" si="348"/>
        <v>0</v>
      </c>
      <c r="Z816" s="32">
        <f t="shared" si="348"/>
        <v>0</v>
      </c>
      <c r="AA816" s="32">
        <f t="shared" si="348"/>
        <v>0</v>
      </c>
      <c r="AB816" s="32">
        <f t="shared" si="348"/>
        <v>0</v>
      </c>
      <c r="AC816" s="32">
        <f t="shared" si="348"/>
        <v>26146.35</v>
      </c>
      <c r="AD816" s="32">
        <f t="shared" si="348"/>
        <v>120000</v>
      </c>
      <c r="AE816" s="32">
        <f t="shared" si="348"/>
        <v>0</v>
      </c>
      <c r="AF816" s="77" t="s">
        <v>801</v>
      </c>
      <c r="AG816" s="77" t="s">
        <v>801</v>
      </c>
      <c r="AH816" s="107" t="s">
        <v>801</v>
      </c>
      <c r="AT816" s="21" t="e">
        <f t="shared" si="326"/>
        <v>#N/A</v>
      </c>
    </row>
    <row r="817" spans="1:46" ht="61.5" x14ac:dyDescent="0.85">
      <c r="A817" s="21">
        <v>1</v>
      </c>
      <c r="B817" s="70">
        <f>SUBTOTAL(103,$A$535:A817)</f>
        <v>257</v>
      </c>
      <c r="C817" s="25" t="s">
        <v>177</v>
      </c>
      <c r="D817" s="32">
        <f t="shared" ref="D817" si="349">E817+F817+G817+H817+I817+J817+L817+N817+P817+R817+T817+U817+V817+W817+X817+Y817+Z817+AA817+AB817+AC817+AD817+AE817</f>
        <v>1889236.5</v>
      </c>
      <c r="E817" s="32">
        <v>0</v>
      </c>
      <c r="F817" s="32">
        <v>0</v>
      </c>
      <c r="G817" s="32">
        <v>0</v>
      </c>
      <c r="H817" s="32">
        <v>0</v>
      </c>
      <c r="I817" s="32">
        <v>0</v>
      </c>
      <c r="J817" s="32">
        <v>0</v>
      </c>
      <c r="K817" s="34">
        <v>0</v>
      </c>
      <c r="L817" s="32">
        <v>0</v>
      </c>
      <c r="M817" s="32">
        <v>368.9</v>
      </c>
      <c r="N817" s="32">
        <v>1743090.15</v>
      </c>
      <c r="O817" s="32">
        <v>0</v>
      </c>
      <c r="P817" s="32">
        <v>0</v>
      </c>
      <c r="Q817" s="32">
        <v>0</v>
      </c>
      <c r="R817" s="32">
        <v>0</v>
      </c>
      <c r="S817" s="32">
        <v>0</v>
      </c>
      <c r="T817" s="32">
        <v>0</v>
      </c>
      <c r="U817" s="32">
        <v>0</v>
      </c>
      <c r="V817" s="32">
        <v>0</v>
      </c>
      <c r="W817" s="32">
        <v>0</v>
      </c>
      <c r="X817" s="32">
        <v>0</v>
      </c>
      <c r="Y817" s="32">
        <v>0</v>
      </c>
      <c r="Z817" s="32">
        <v>0</v>
      </c>
      <c r="AA817" s="32">
        <v>0</v>
      </c>
      <c r="AB817" s="32">
        <v>0</v>
      </c>
      <c r="AC817" s="32">
        <f>ROUND(N817*1.5%,2)</f>
        <v>26146.35</v>
      </c>
      <c r="AD817" s="32">
        <v>120000</v>
      </c>
      <c r="AE817" s="32">
        <v>0</v>
      </c>
      <c r="AF817" s="35">
        <v>2021</v>
      </c>
      <c r="AG817" s="35">
        <v>2021</v>
      </c>
      <c r="AH817" s="36">
        <v>2021</v>
      </c>
      <c r="AT817" s="21" t="e">
        <f t="shared" si="326"/>
        <v>#N/A</v>
      </c>
    </row>
    <row r="818" spans="1:46" ht="61.5" x14ac:dyDescent="0.85">
      <c r="B818" s="25" t="s">
        <v>890</v>
      </c>
      <c r="C818" s="110"/>
      <c r="D818" s="32">
        <f t="shared" ref="D818:AE818" si="350">SUM(D819:D822)</f>
        <v>10103503.050000001</v>
      </c>
      <c r="E818" s="32">
        <f t="shared" si="350"/>
        <v>0</v>
      </c>
      <c r="F818" s="32">
        <f t="shared" si="350"/>
        <v>0</v>
      </c>
      <c r="G818" s="32">
        <f t="shared" si="350"/>
        <v>0</v>
      </c>
      <c r="H818" s="32">
        <f t="shared" si="350"/>
        <v>0</v>
      </c>
      <c r="I818" s="32">
        <f t="shared" si="350"/>
        <v>0</v>
      </c>
      <c r="J818" s="32">
        <f t="shared" si="350"/>
        <v>0</v>
      </c>
      <c r="K818" s="34">
        <f t="shared" si="350"/>
        <v>0</v>
      </c>
      <c r="L818" s="32">
        <f t="shared" si="350"/>
        <v>0</v>
      </c>
      <c r="M818" s="32">
        <f t="shared" si="350"/>
        <v>1755</v>
      </c>
      <c r="N818" s="32">
        <f t="shared" si="350"/>
        <v>9451727.1400000006</v>
      </c>
      <c r="O818" s="32">
        <f t="shared" si="350"/>
        <v>0</v>
      </c>
      <c r="P818" s="32">
        <f t="shared" si="350"/>
        <v>0</v>
      </c>
      <c r="Q818" s="32">
        <f t="shared" si="350"/>
        <v>0</v>
      </c>
      <c r="R818" s="32">
        <f t="shared" si="350"/>
        <v>0</v>
      </c>
      <c r="S818" s="32">
        <f t="shared" si="350"/>
        <v>0</v>
      </c>
      <c r="T818" s="32">
        <f t="shared" si="350"/>
        <v>0</v>
      </c>
      <c r="U818" s="32">
        <f t="shared" si="350"/>
        <v>0</v>
      </c>
      <c r="V818" s="32">
        <f t="shared" si="350"/>
        <v>0</v>
      </c>
      <c r="W818" s="32">
        <f t="shared" si="350"/>
        <v>0</v>
      </c>
      <c r="X818" s="32">
        <f t="shared" si="350"/>
        <v>0</v>
      </c>
      <c r="Y818" s="32">
        <f t="shared" si="350"/>
        <v>0</v>
      </c>
      <c r="Z818" s="32">
        <f t="shared" si="350"/>
        <v>0</v>
      </c>
      <c r="AA818" s="32">
        <f t="shared" si="350"/>
        <v>0</v>
      </c>
      <c r="AB818" s="32">
        <f t="shared" si="350"/>
        <v>0</v>
      </c>
      <c r="AC818" s="32">
        <f t="shared" si="350"/>
        <v>141775.90999999997</v>
      </c>
      <c r="AD818" s="32">
        <f t="shared" si="350"/>
        <v>510000</v>
      </c>
      <c r="AE818" s="32">
        <f t="shared" si="350"/>
        <v>0</v>
      </c>
      <c r="AF818" s="77" t="s">
        <v>801</v>
      </c>
      <c r="AG818" s="77" t="s">
        <v>801</v>
      </c>
      <c r="AH818" s="107" t="s">
        <v>801</v>
      </c>
      <c r="AT818" s="21" t="e">
        <f t="shared" si="326"/>
        <v>#N/A</v>
      </c>
    </row>
    <row r="819" spans="1:46" ht="61.5" x14ac:dyDescent="0.85">
      <c r="A819" s="21">
        <v>1</v>
      </c>
      <c r="B819" s="70">
        <f>SUBTOTAL(103,$A$535:A819)</f>
        <v>258</v>
      </c>
      <c r="C819" s="25" t="s">
        <v>80</v>
      </c>
      <c r="D819" s="32">
        <f t="shared" ref="D819:D822" si="351">E819+F819+G819+H819+I819+J819+L819+N819+P819+R819+T819+U819+V819+W819+X819+Y819+Z819+AA819+AB819+AC819+AD819+AE819</f>
        <v>3083184.6</v>
      </c>
      <c r="E819" s="32">
        <v>0</v>
      </c>
      <c r="F819" s="32">
        <v>0</v>
      </c>
      <c r="G819" s="32">
        <v>0</v>
      </c>
      <c r="H819" s="32">
        <v>0</v>
      </c>
      <c r="I819" s="32">
        <v>0</v>
      </c>
      <c r="J819" s="32">
        <v>0</v>
      </c>
      <c r="K819" s="34">
        <v>0</v>
      </c>
      <c r="L819" s="32">
        <v>0</v>
      </c>
      <c r="M819" s="32">
        <v>510</v>
      </c>
      <c r="N819" s="32">
        <v>2889837.04</v>
      </c>
      <c r="O819" s="32">
        <v>0</v>
      </c>
      <c r="P819" s="32">
        <v>0</v>
      </c>
      <c r="Q819" s="32">
        <v>0</v>
      </c>
      <c r="R819" s="32">
        <v>0</v>
      </c>
      <c r="S819" s="32">
        <v>0</v>
      </c>
      <c r="T819" s="32">
        <v>0</v>
      </c>
      <c r="U819" s="32">
        <v>0</v>
      </c>
      <c r="V819" s="32">
        <v>0</v>
      </c>
      <c r="W819" s="32">
        <v>0</v>
      </c>
      <c r="X819" s="32">
        <v>0</v>
      </c>
      <c r="Y819" s="32">
        <v>0</v>
      </c>
      <c r="Z819" s="32">
        <v>0</v>
      </c>
      <c r="AA819" s="32">
        <v>0</v>
      </c>
      <c r="AB819" s="32">
        <v>0</v>
      </c>
      <c r="AC819" s="32">
        <f t="shared" ref="AC819:AC822" si="352">ROUND(N819*1.5%,2)</f>
        <v>43347.56</v>
      </c>
      <c r="AD819" s="32">
        <v>150000</v>
      </c>
      <c r="AE819" s="32">
        <v>0</v>
      </c>
      <c r="AF819" s="35">
        <v>2021</v>
      </c>
      <c r="AG819" s="35">
        <v>2021</v>
      </c>
      <c r="AH819" s="36">
        <v>2021</v>
      </c>
      <c r="AT819" s="21" t="e">
        <f t="shared" si="326"/>
        <v>#N/A</v>
      </c>
    </row>
    <row r="820" spans="1:46" ht="61.5" x14ac:dyDescent="0.85">
      <c r="A820" s="21">
        <v>1</v>
      </c>
      <c r="B820" s="70">
        <f>SUBTOTAL(103,$A$535:A820)</f>
        <v>259</v>
      </c>
      <c r="C820" s="25" t="s">
        <v>81</v>
      </c>
      <c r="D820" s="32">
        <f t="shared" si="351"/>
        <v>2424688.3000000003</v>
      </c>
      <c r="E820" s="32">
        <v>0</v>
      </c>
      <c r="F820" s="32">
        <v>0</v>
      </c>
      <c r="G820" s="32">
        <v>0</v>
      </c>
      <c r="H820" s="32">
        <v>0</v>
      </c>
      <c r="I820" s="32">
        <v>0</v>
      </c>
      <c r="J820" s="32">
        <v>0</v>
      </c>
      <c r="K820" s="34">
        <v>0</v>
      </c>
      <c r="L820" s="32">
        <v>0</v>
      </c>
      <c r="M820" s="32">
        <v>430</v>
      </c>
      <c r="N820" s="32">
        <v>2270628.87</v>
      </c>
      <c r="O820" s="32">
        <v>0</v>
      </c>
      <c r="P820" s="32">
        <v>0</v>
      </c>
      <c r="Q820" s="32">
        <v>0</v>
      </c>
      <c r="R820" s="32">
        <v>0</v>
      </c>
      <c r="S820" s="32">
        <v>0</v>
      </c>
      <c r="T820" s="32">
        <v>0</v>
      </c>
      <c r="U820" s="32">
        <v>0</v>
      </c>
      <c r="V820" s="32">
        <v>0</v>
      </c>
      <c r="W820" s="32">
        <v>0</v>
      </c>
      <c r="X820" s="32">
        <v>0</v>
      </c>
      <c r="Y820" s="32">
        <v>0</v>
      </c>
      <c r="Z820" s="32">
        <v>0</v>
      </c>
      <c r="AA820" s="32">
        <v>0</v>
      </c>
      <c r="AB820" s="32">
        <v>0</v>
      </c>
      <c r="AC820" s="32">
        <f t="shared" si="352"/>
        <v>34059.43</v>
      </c>
      <c r="AD820" s="32">
        <v>120000</v>
      </c>
      <c r="AE820" s="32">
        <v>0</v>
      </c>
      <c r="AF820" s="35">
        <v>2021</v>
      </c>
      <c r="AG820" s="35">
        <v>2021</v>
      </c>
      <c r="AH820" s="36">
        <v>2021</v>
      </c>
      <c r="AT820" s="21" t="e">
        <f t="shared" ref="AT820:AT851" si="353">VLOOKUP(C820,AW:AX,2,FALSE)</f>
        <v>#N/A</v>
      </c>
    </row>
    <row r="821" spans="1:46" ht="61.5" x14ac:dyDescent="0.85">
      <c r="A821" s="21">
        <v>1</v>
      </c>
      <c r="B821" s="70">
        <f>SUBTOTAL(103,$A$535:A821)</f>
        <v>260</v>
      </c>
      <c r="C821" s="25" t="s">
        <v>82</v>
      </c>
      <c r="D821" s="32">
        <f t="shared" si="351"/>
        <v>2424688.3000000003</v>
      </c>
      <c r="E821" s="32">
        <v>0</v>
      </c>
      <c r="F821" s="32">
        <v>0</v>
      </c>
      <c r="G821" s="32">
        <v>0</v>
      </c>
      <c r="H821" s="32">
        <v>0</v>
      </c>
      <c r="I821" s="32">
        <v>0</v>
      </c>
      <c r="J821" s="32">
        <v>0</v>
      </c>
      <c r="K821" s="34">
        <v>0</v>
      </c>
      <c r="L821" s="32">
        <v>0</v>
      </c>
      <c r="M821" s="32">
        <v>430</v>
      </c>
      <c r="N821" s="32">
        <v>2270628.87</v>
      </c>
      <c r="O821" s="32">
        <v>0</v>
      </c>
      <c r="P821" s="32">
        <v>0</v>
      </c>
      <c r="Q821" s="32">
        <v>0</v>
      </c>
      <c r="R821" s="32">
        <v>0</v>
      </c>
      <c r="S821" s="32">
        <v>0</v>
      </c>
      <c r="T821" s="32">
        <v>0</v>
      </c>
      <c r="U821" s="32">
        <v>0</v>
      </c>
      <c r="V821" s="32">
        <v>0</v>
      </c>
      <c r="W821" s="32">
        <v>0</v>
      </c>
      <c r="X821" s="32">
        <v>0</v>
      </c>
      <c r="Y821" s="32">
        <v>0</v>
      </c>
      <c r="Z821" s="32">
        <v>0</v>
      </c>
      <c r="AA821" s="32">
        <v>0</v>
      </c>
      <c r="AB821" s="32">
        <v>0</v>
      </c>
      <c r="AC821" s="32">
        <f t="shared" si="352"/>
        <v>34059.43</v>
      </c>
      <c r="AD821" s="32">
        <v>120000</v>
      </c>
      <c r="AE821" s="32">
        <v>0</v>
      </c>
      <c r="AF821" s="35">
        <v>2021</v>
      </c>
      <c r="AG821" s="35">
        <v>2021</v>
      </c>
      <c r="AH821" s="36">
        <v>2021</v>
      </c>
      <c r="AT821" s="21" t="e">
        <f t="shared" si="353"/>
        <v>#N/A</v>
      </c>
    </row>
    <row r="822" spans="1:46" ht="61.5" x14ac:dyDescent="0.85">
      <c r="A822" s="21">
        <v>1</v>
      </c>
      <c r="B822" s="70">
        <f>SUBTOTAL(103,$A$535:A822)</f>
        <v>261</v>
      </c>
      <c r="C822" s="25" t="s">
        <v>79</v>
      </c>
      <c r="D822" s="32">
        <f t="shared" si="351"/>
        <v>2170941.85</v>
      </c>
      <c r="E822" s="32">
        <v>0</v>
      </c>
      <c r="F822" s="32">
        <v>0</v>
      </c>
      <c r="G822" s="32">
        <v>0</v>
      </c>
      <c r="H822" s="32">
        <v>0</v>
      </c>
      <c r="I822" s="32">
        <v>0</v>
      </c>
      <c r="J822" s="32">
        <v>0</v>
      </c>
      <c r="K822" s="34">
        <v>0</v>
      </c>
      <c r="L822" s="32">
        <v>0</v>
      </c>
      <c r="M822" s="32">
        <v>385</v>
      </c>
      <c r="N822" s="32">
        <v>2020632.36</v>
      </c>
      <c r="O822" s="32">
        <v>0</v>
      </c>
      <c r="P822" s="32">
        <v>0</v>
      </c>
      <c r="Q822" s="32">
        <v>0</v>
      </c>
      <c r="R822" s="32">
        <v>0</v>
      </c>
      <c r="S822" s="32">
        <v>0</v>
      </c>
      <c r="T822" s="32">
        <v>0</v>
      </c>
      <c r="U822" s="32">
        <v>0</v>
      </c>
      <c r="V822" s="32">
        <v>0</v>
      </c>
      <c r="W822" s="32">
        <v>0</v>
      </c>
      <c r="X822" s="32">
        <v>0</v>
      </c>
      <c r="Y822" s="32">
        <v>0</v>
      </c>
      <c r="Z822" s="32">
        <v>0</v>
      </c>
      <c r="AA822" s="32">
        <v>0</v>
      </c>
      <c r="AB822" s="32">
        <v>0</v>
      </c>
      <c r="AC822" s="32">
        <f t="shared" si="352"/>
        <v>30309.49</v>
      </c>
      <c r="AD822" s="32">
        <v>120000</v>
      </c>
      <c r="AE822" s="32">
        <v>0</v>
      </c>
      <c r="AF822" s="35">
        <v>2021</v>
      </c>
      <c r="AG822" s="35">
        <v>2021</v>
      </c>
      <c r="AH822" s="36">
        <v>2021</v>
      </c>
      <c r="AT822" s="21" t="e">
        <f t="shared" si="353"/>
        <v>#N/A</v>
      </c>
    </row>
    <row r="823" spans="1:46" ht="61.5" x14ac:dyDescent="0.85">
      <c r="B823" s="25" t="s">
        <v>924</v>
      </c>
      <c r="C823" s="25"/>
      <c r="D823" s="32">
        <f t="shared" ref="D823:AE823" si="354">D824+D825</f>
        <v>2766932.97</v>
      </c>
      <c r="E823" s="32">
        <f t="shared" si="354"/>
        <v>0</v>
      </c>
      <c r="F823" s="32">
        <f t="shared" si="354"/>
        <v>0</v>
      </c>
      <c r="G823" s="32">
        <f t="shared" si="354"/>
        <v>0</v>
      </c>
      <c r="H823" s="32">
        <f t="shared" si="354"/>
        <v>0</v>
      </c>
      <c r="I823" s="32">
        <f t="shared" si="354"/>
        <v>0</v>
      </c>
      <c r="J823" s="32">
        <f t="shared" si="354"/>
        <v>0</v>
      </c>
      <c r="K823" s="34">
        <f t="shared" si="354"/>
        <v>0</v>
      </c>
      <c r="L823" s="32">
        <f t="shared" si="354"/>
        <v>0</v>
      </c>
      <c r="M823" s="32">
        <f t="shared" si="354"/>
        <v>467</v>
      </c>
      <c r="N823" s="32">
        <f t="shared" si="354"/>
        <v>2489589.13</v>
      </c>
      <c r="O823" s="32">
        <f t="shared" si="354"/>
        <v>0</v>
      </c>
      <c r="P823" s="32">
        <f t="shared" si="354"/>
        <v>0</v>
      </c>
      <c r="Q823" s="32">
        <f t="shared" si="354"/>
        <v>0</v>
      </c>
      <c r="R823" s="32">
        <f t="shared" si="354"/>
        <v>0</v>
      </c>
      <c r="S823" s="32">
        <f t="shared" si="354"/>
        <v>0</v>
      </c>
      <c r="T823" s="32">
        <f t="shared" si="354"/>
        <v>0</v>
      </c>
      <c r="U823" s="32">
        <f t="shared" si="354"/>
        <v>0</v>
      </c>
      <c r="V823" s="32">
        <f t="shared" si="354"/>
        <v>0</v>
      </c>
      <c r="W823" s="32">
        <f t="shared" si="354"/>
        <v>0</v>
      </c>
      <c r="X823" s="32">
        <f t="shared" si="354"/>
        <v>0</v>
      </c>
      <c r="Y823" s="32">
        <f t="shared" si="354"/>
        <v>0</v>
      </c>
      <c r="Z823" s="32">
        <f t="shared" si="354"/>
        <v>0</v>
      </c>
      <c r="AA823" s="32">
        <f t="shared" si="354"/>
        <v>0</v>
      </c>
      <c r="AB823" s="32">
        <f t="shared" si="354"/>
        <v>0</v>
      </c>
      <c r="AC823" s="32">
        <f t="shared" si="354"/>
        <v>37343.839999999997</v>
      </c>
      <c r="AD823" s="32">
        <f t="shared" si="354"/>
        <v>240000</v>
      </c>
      <c r="AE823" s="32">
        <f t="shared" si="354"/>
        <v>0</v>
      </c>
      <c r="AF823" s="77" t="s">
        <v>801</v>
      </c>
      <c r="AG823" s="77" t="s">
        <v>801</v>
      </c>
      <c r="AH823" s="107" t="s">
        <v>801</v>
      </c>
      <c r="AT823" s="21" t="e">
        <f t="shared" si="353"/>
        <v>#N/A</v>
      </c>
    </row>
    <row r="824" spans="1:46" ht="61.5" x14ac:dyDescent="0.85">
      <c r="A824" s="21">
        <v>1</v>
      </c>
      <c r="B824" s="70">
        <f>SUBTOTAL(103,$A$535:A824)</f>
        <v>262</v>
      </c>
      <c r="C824" s="25" t="s">
        <v>83</v>
      </c>
      <c r="D824" s="32">
        <f t="shared" ref="D824:D825" si="355">E824+F824+G824+H824+I824+J824+L824+N824+P824+R824+T824+U824+V824+W824+X824+Y824+Z824+AA824+AB824+AC824+AD824+AE824</f>
        <v>1818947.37</v>
      </c>
      <c r="E824" s="32">
        <v>0</v>
      </c>
      <c r="F824" s="32">
        <v>0</v>
      </c>
      <c r="G824" s="32">
        <v>0</v>
      </c>
      <c r="H824" s="32">
        <v>0</v>
      </c>
      <c r="I824" s="32">
        <v>0</v>
      </c>
      <c r="J824" s="32">
        <v>0</v>
      </c>
      <c r="K824" s="34">
        <v>0</v>
      </c>
      <c r="L824" s="32">
        <v>0</v>
      </c>
      <c r="M824" s="32">
        <v>307</v>
      </c>
      <c r="N824" s="32">
        <v>1673839.77</v>
      </c>
      <c r="O824" s="32">
        <v>0</v>
      </c>
      <c r="P824" s="32">
        <v>0</v>
      </c>
      <c r="Q824" s="32">
        <v>0</v>
      </c>
      <c r="R824" s="32">
        <v>0</v>
      </c>
      <c r="S824" s="32">
        <v>0</v>
      </c>
      <c r="T824" s="32">
        <v>0</v>
      </c>
      <c r="U824" s="32">
        <v>0</v>
      </c>
      <c r="V824" s="32">
        <v>0</v>
      </c>
      <c r="W824" s="32">
        <v>0</v>
      </c>
      <c r="X824" s="32">
        <v>0</v>
      </c>
      <c r="Y824" s="32">
        <v>0</v>
      </c>
      <c r="Z824" s="32">
        <v>0</v>
      </c>
      <c r="AA824" s="32">
        <v>0</v>
      </c>
      <c r="AB824" s="32">
        <v>0</v>
      </c>
      <c r="AC824" s="32">
        <f t="shared" ref="AC824:AC825" si="356">ROUND(N824*1.5%,2)</f>
        <v>25107.599999999999</v>
      </c>
      <c r="AD824" s="32">
        <v>120000</v>
      </c>
      <c r="AE824" s="32">
        <v>0</v>
      </c>
      <c r="AF824" s="35">
        <v>2021</v>
      </c>
      <c r="AG824" s="35">
        <v>2021</v>
      </c>
      <c r="AH824" s="36">
        <v>2021</v>
      </c>
      <c r="AT824" s="21" t="e">
        <f t="shared" si="353"/>
        <v>#N/A</v>
      </c>
    </row>
    <row r="825" spans="1:46" ht="61.5" x14ac:dyDescent="0.85">
      <c r="A825" s="21">
        <v>1</v>
      </c>
      <c r="B825" s="70">
        <f>SUBTOTAL(103,$A$535:A825)</f>
        <v>263</v>
      </c>
      <c r="C825" s="25" t="s">
        <v>84</v>
      </c>
      <c r="D825" s="32">
        <f t="shared" si="355"/>
        <v>947985.6</v>
      </c>
      <c r="E825" s="32">
        <v>0</v>
      </c>
      <c r="F825" s="32">
        <v>0</v>
      </c>
      <c r="G825" s="32">
        <v>0</v>
      </c>
      <c r="H825" s="32">
        <v>0</v>
      </c>
      <c r="I825" s="32">
        <v>0</v>
      </c>
      <c r="J825" s="32">
        <v>0</v>
      </c>
      <c r="K825" s="34">
        <v>0</v>
      </c>
      <c r="L825" s="32">
        <v>0</v>
      </c>
      <c r="M825" s="32">
        <v>160</v>
      </c>
      <c r="N825" s="32">
        <v>815749.36</v>
      </c>
      <c r="O825" s="32">
        <v>0</v>
      </c>
      <c r="P825" s="32">
        <v>0</v>
      </c>
      <c r="Q825" s="32">
        <v>0</v>
      </c>
      <c r="R825" s="32">
        <v>0</v>
      </c>
      <c r="S825" s="32">
        <v>0</v>
      </c>
      <c r="T825" s="32">
        <v>0</v>
      </c>
      <c r="U825" s="32">
        <v>0</v>
      </c>
      <c r="V825" s="32">
        <v>0</v>
      </c>
      <c r="W825" s="32">
        <v>0</v>
      </c>
      <c r="X825" s="32">
        <v>0</v>
      </c>
      <c r="Y825" s="32">
        <v>0</v>
      </c>
      <c r="Z825" s="32">
        <v>0</v>
      </c>
      <c r="AA825" s="32">
        <v>0</v>
      </c>
      <c r="AB825" s="32">
        <v>0</v>
      </c>
      <c r="AC825" s="32">
        <f t="shared" si="356"/>
        <v>12236.24</v>
      </c>
      <c r="AD825" s="32">
        <v>120000</v>
      </c>
      <c r="AE825" s="32">
        <v>0</v>
      </c>
      <c r="AF825" s="35">
        <v>2021</v>
      </c>
      <c r="AG825" s="35">
        <v>2021</v>
      </c>
      <c r="AH825" s="36">
        <v>2021</v>
      </c>
      <c r="AT825" s="21" t="e">
        <f t="shared" si="353"/>
        <v>#N/A</v>
      </c>
    </row>
    <row r="826" spans="1:46" ht="61.5" x14ac:dyDescent="0.85">
      <c r="B826" s="25" t="s">
        <v>925</v>
      </c>
      <c r="C826" s="25"/>
      <c r="D826" s="32">
        <f t="shared" ref="D826:AE826" si="357">D827</f>
        <v>2568179.12</v>
      </c>
      <c r="E826" s="32">
        <f t="shared" si="357"/>
        <v>0</v>
      </c>
      <c r="F826" s="32">
        <f t="shared" si="357"/>
        <v>0</v>
      </c>
      <c r="G826" s="32">
        <f t="shared" si="357"/>
        <v>0</v>
      </c>
      <c r="H826" s="32">
        <f t="shared" si="357"/>
        <v>0</v>
      </c>
      <c r="I826" s="32">
        <f t="shared" si="357"/>
        <v>0</v>
      </c>
      <c r="J826" s="32">
        <f t="shared" si="357"/>
        <v>0</v>
      </c>
      <c r="K826" s="34">
        <f t="shared" si="357"/>
        <v>0</v>
      </c>
      <c r="L826" s="32">
        <f t="shared" si="357"/>
        <v>0</v>
      </c>
      <c r="M826" s="32">
        <f t="shared" si="357"/>
        <v>399.43</v>
      </c>
      <c r="N826" s="32">
        <f t="shared" si="357"/>
        <v>2411999.13</v>
      </c>
      <c r="O826" s="32">
        <f t="shared" si="357"/>
        <v>0</v>
      </c>
      <c r="P826" s="32">
        <f t="shared" si="357"/>
        <v>0</v>
      </c>
      <c r="Q826" s="32">
        <f t="shared" si="357"/>
        <v>0</v>
      </c>
      <c r="R826" s="32">
        <f t="shared" si="357"/>
        <v>0</v>
      </c>
      <c r="S826" s="32">
        <f t="shared" si="357"/>
        <v>0</v>
      </c>
      <c r="T826" s="32">
        <f t="shared" si="357"/>
        <v>0</v>
      </c>
      <c r="U826" s="32">
        <f t="shared" si="357"/>
        <v>0</v>
      </c>
      <c r="V826" s="32">
        <f t="shared" si="357"/>
        <v>0</v>
      </c>
      <c r="W826" s="32">
        <f t="shared" si="357"/>
        <v>0</v>
      </c>
      <c r="X826" s="32">
        <f t="shared" si="357"/>
        <v>0</v>
      </c>
      <c r="Y826" s="32">
        <f t="shared" si="357"/>
        <v>0</v>
      </c>
      <c r="Z826" s="32">
        <f t="shared" si="357"/>
        <v>0</v>
      </c>
      <c r="AA826" s="32">
        <f t="shared" si="357"/>
        <v>0</v>
      </c>
      <c r="AB826" s="32">
        <f t="shared" si="357"/>
        <v>0</v>
      </c>
      <c r="AC826" s="32">
        <f t="shared" si="357"/>
        <v>36179.99</v>
      </c>
      <c r="AD826" s="32">
        <f t="shared" si="357"/>
        <v>120000</v>
      </c>
      <c r="AE826" s="32">
        <f t="shared" si="357"/>
        <v>0</v>
      </c>
      <c r="AF826" s="77" t="s">
        <v>801</v>
      </c>
      <c r="AG826" s="77" t="s">
        <v>801</v>
      </c>
      <c r="AH826" s="107" t="s">
        <v>801</v>
      </c>
      <c r="AT826" s="21" t="e">
        <f t="shared" si="353"/>
        <v>#N/A</v>
      </c>
    </row>
    <row r="827" spans="1:46" ht="61.5" x14ac:dyDescent="0.85">
      <c r="A827" s="21">
        <v>1</v>
      </c>
      <c r="B827" s="70">
        <f>SUBTOTAL(103,$A$535:A827)</f>
        <v>264</v>
      </c>
      <c r="C827" s="25" t="s">
        <v>85</v>
      </c>
      <c r="D827" s="32">
        <f t="shared" ref="D827" si="358">E827+F827+G827+H827+I827+J827+L827+N827+P827+R827+T827+U827+V827+W827+X827+Y827+Z827+AA827+AB827+AC827+AD827+AE827</f>
        <v>2568179.12</v>
      </c>
      <c r="E827" s="32">
        <v>0</v>
      </c>
      <c r="F827" s="32">
        <v>0</v>
      </c>
      <c r="G827" s="32">
        <v>0</v>
      </c>
      <c r="H827" s="32">
        <v>0</v>
      </c>
      <c r="I827" s="32">
        <v>0</v>
      </c>
      <c r="J827" s="32">
        <v>0</v>
      </c>
      <c r="K827" s="34">
        <v>0</v>
      </c>
      <c r="L827" s="32">
        <v>0</v>
      </c>
      <c r="M827" s="32">
        <v>399.43</v>
      </c>
      <c r="N827" s="32">
        <v>2411999.13</v>
      </c>
      <c r="O827" s="32">
        <v>0</v>
      </c>
      <c r="P827" s="32">
        <v>0</v>
      </c>
      <c r="Q827" s="32">
        <v>0</v>
      </c>
      <c r="R827" s="32">
        <v>0</v>
      </c>
      <c r="S827" s="32">
        <v>0</v>
      </c>
      <c r="T827" s="32">
        <v>0</v>
      </c>
      <c r="U827" s="32">
        <v>0</v>
      </c>
      <c r="V827" s="32">
        <v>0</v>
      </c>
      <c r="W827" s="32">
        <v>0</v>
      </c>
      <c r="X827" s="32">
        <v>0</v>
      </c>
      <c r="Y827" s="32">
        <v>0</v>
      </c>
      <c r="Z827" s="32">
        <v>0</v>
      </c>
      <c r="AA827" s="32">
        <v>0</v>
      </c>
      <c r="AB827" s="32">
        <v>0</v>
      </c>
      <c r="AC827" s="32">
        <f>ROUND(N827*1.5%,2)</f>
        <v>36179.99</v>
      </c>
      <c r="AD827" s="32">
        <v>120000</v>
      </c>
      <c r="AE827" s="32">
        <v>0</v>
      </c>
      <c r="AF827" s="35">
        <v>2021</v>
      </c>
      <c r="AG827" s="35">
        <v>2021</v>
      </c>
      <c r="AH827" s="36">
        <v>2021</v>
      </c>
      <c r="AT827" s="21" t="e">
        <f t="shared" si="353"/>
        <v>#N/A</v>
      </c>
    </row>
    <row r="828" spans="1:46" ht="61.5" x14ac:dyDescent="0.85">
      <c r="B828" s="25" t="s">
        <v>892</v>
      </c>
      <c r="C828" s="110"/>
      <c r="D828" s="32">
        <f t="shared" ref="D828:AE828" si="359">D829</f>
        <v>2981647.8</v>
      </c>
      <c r="E828" s="32">
        <f t="shared" si="359"/>
        <v>0</v>
      </c>
      <c r="F828" s="32">
        <f t="shared" si="359"/>
        <v>0</v>
      </c>
      <c r="G828" s="32">
        <f t="shared" si="359"/>
        <v>0</v>
      </c>
      <c r="H828" s="32">
        <f t="shared" si="359"/>
        <v>0</v>
      </c>
      <c r="I828" s="32">
        <f t="shared" si="359"/>
        <v>0</v>
      </c>
      <c r="J828" s="32">
        <f t="shared" si="359"/>
        <v>0</v>
      </c>
      <c r="K828" s="34">
        <f t="shared" si="359"/>
        <v>0</v>
      </c>
      <c r="L828" s="32">
        <f t="shared" si="359"/>
        <v>0</v>
      </c>
      <c r="M828" s="32">
        <f t="shared" si="359"/>
        <v>571</v>
      </c>
      <c r="N828" s="32">
        <f t="shared" si="359"/>
        <v>2789800.79</v>
      </c>
      <c r="O828" s="32">
        <f t="shared" si="359"/>
        <v>0</v>
      </c>
      <c r="P828" s="32">
        <f t="shared" si="359"/>
        <v>0</v>
      </c>
      <c r="Q828" s="32">
        <f t="shared" si="359"/>
        <v>0</v>
      </c>
      <c r="R828" s="32">
        <f t="shared" si="359"/>
        <v>0</v>
      </c>
      <c r="S828" s="32">
        <f t="shared" si="359"/>
        <v>0</v>
      </c>
      <c r="T828" s="32">
        <f t="shared" si="359"/>
        <v>0</v>
      </c>
      <c r="U828" s="32">
        <f t="shared" si="359"/>
        <v>0</v>
      </c>
      <c r="V828" s="32">
        <f t="shared" si="359"/>
        <v>0</v>
      </c>
      <c r="W828" s="32">
        <f t="shared" si="359"/>
        <v>0</v>
      </c>
      <c r="X828" s="32">
        <f t="shared" si="359"/>
        <v>0</v>
      </c>
      <c r="Y828" s="32">
        <f t="shared" si="359"/>
        <v>0</v>
      </c>
      <c r="Z828" s="32">
        <f t="shared" si="359"/>
        <v>0</v>
      </c>
      <c r="AA828" s="32">
        <f t="shared" si="359"/>
        <v>0</v>
      </c>
      <c r="AB828" s="32">
        <f t="shared" si="359"/>
        <v>0</v>
      </c>
      <c r="AC828" s="32">
        <f t="shared" si="359"/>
        <v>41847.01</v>
      </c>
      <c r="AD828" s="32">
        <f t="shared" si="359"/>
        <v>150000</v>
      </c>
      <c r="AE828" s="32">
        <f t="shared" si="359"/>
        <v>0</v>
      </c>
      <c r="AF828" s="77" t="s">
        <v>801</v>
      </c>
      <c r="AG828" s="77" t="s">
        <v>801</v>
      </c>
      <c r="AH828" s="107" t="s">
        <v>801</v>
      </c>
      <c r="AT828" s="21" t="e">
        <f t="shared" si="353"/>
        <v>#N/A</v>
      </c>
    </row>
    <row r="829" spans="1:46" ht="61.5" x14ac:dyDescent="0.85">
      <c r="A829" s="21">
        <v>1</v>
      </c>
      <c r="B829" s="70">
        <f>SUBTOTAL(103,$A$535:A829)</f>
        <v>265</v>
      </c>
      <c r="C829" s="25" t="s">
        <v>108</v>
      </c>
      <c r="D829" s="32">
        <f t="shared" ref="D829" si="360">E829+F829+G829+H829+I829+J829+L829+N829+P829+R829+T829+U829+V829+W829+X829+Y829+Z829+AA829+AB829+AC829+AD829+AE829</f>
        <v>2981647.8</v>
      </c>
      <c r="E829" s="32">
        <v>0</v>
      </c>
      <c r="F829" s="32">
        <v>0</v>
      </c>
      <c r="G829" s="32">
        <v>0</v>
      </c>
      <c r="H829" s="32">
        <v>0</v>
      </c>
      <c r="I829" s="32">
        <v>0</v>
      </c>
      <c r="J829" s="32">
        <v>0</v>
      </c>
      <c r="K829" s="34">
        <v>0</v>
      </c>
      <c r="L829" s="32">
        <v>0</v>
      </c>
      <c r="M829" s="32">
        <v>571</v>
      </c>
      <c r="N829" s="32">
        <v>2789800.79</v>
      </c>
      <c r="O829" s="32">
        <v>0</v>
      </c>
      <c r="P829" s="32">
        <v>0</v>
      </c>
      <c r="Q829" s="32">
        <v>0</v>
      </c>
      <c r="R829" s="32">
        <v>0</v>
      </c>
      <c r="S829" s="32">
        <v>0</v>
      </c>
      <c r="T829" s="32">
        <v>0</v>
      </c>
      <c r="U829" s="32">
        <v>0</v>
      </c>
      <c r="V829" s="32">
        <v>0</v>
      </c>
      <c r="W829" s="32">
        <v>0</v>
      </c>
      <c r="X829" s="32">
        <v>0</v>
      </c>
      <c r="Y829" s="32">
        <v>0</v>
      </c>
      <c r="Z829" s="32">
        <v>0</v>
      </c>
      <c r="AA829" s="32">
        <v>0</v>
      </c>
      <c r="AB829" s="32">
        <v>0</v>
      </c>
      <c r="AC829" s="32">
        <f>ROUND(N829*1.5%,2)</f>
        <v>41847.01</v>
      </c>
      <c r="AD829" s="32">
        <v>150000</v>
      </c>
      <c r="AE829" s="32">
        <v>0</v>
      </c>
      <c r="AF829" s="35">
        <v>2021</v>
      </c>
      <c r="AG829" s="35">
        <v>2021</v>
      </c>
      <c r="AH829" s="36">
        <v>2021</v>
      </c>
      <c r="AT829" s="21" t="e">
        <f t="shared" si="353"/>
        <v>#N/A</v>
      </c>
    </row>
    <row r="830" spans="1:46" ht="61.5" x14ac:dyDescent="0.85">
      <c r="B830" s="25" t="s">
        <v>926</v>
      </c>
      <c r="C830" s="25"/>
      <c r="D830" s="32">
        <f t="shared" ref="D830:AE830" si="361">D831</f>
        <v>4290230.8800000008</v>
      </c>
      <c r="E830" s="32">
        <f t="shared" si="361"/>
        <v>0</v>
      </c>
      <c r="F830" s="32">
        <f t="shared" si="361"/>
        <v>0</v>
      </c>
      <c r="G830" s="32">
        <f t="shared" si="361"/>
        <v>0</v>
      </c>
      <c r="H830" s="32">
        <f t="shared" si="361"/>
        <v>0</v>
      </c>
      <c r="I830" s="32">
        <f t="shared" si="361"/>
        <v>0</v>
      </c>
      <c r="J830" s="32">
        <f t="shared" si="361"/>
        <v>0</v>
      </c>
      <c r="K830" s="34">
        <f t="shared" si="361"/>
        <v>0</v>
      </c>
      <c r="L830" s="32">
        <f t="shared" si="361"/>
        <v>0</v>
      </c>
      <c r="M830" s="32">
        <f t="shared" si="361"/>
        <v>821.6</v>
      </c>
      <c r="N830" s="32">
        <f t="shared" si="361"/>
        <v>4079045.2</v>
      </c>
      <c r="O830" s="32">
        <f t="shared" si="361"/>
        <v>0</v>
      </c>
      <c r="P830" s="32">
        <f t="shared" si="361"/>
        <v>0</v>
      </c>
      <c r="Q830" s="32">
        <f t="shared" si="361"/>
        <v>0</v>
      </c>
      <c r="R830" s="32">
        <f t="shared" si="361"/>
        <v>0</v>
      </c>
      <c r="S830" s="32">
        <f t="shared" si="361"/>
        <v>0</v>
      </c>
      <c r="T830" s="32">
        <f t="shared" si="361"/>
        <v>0</v>
      </c>
      <c r="U830" s="32">
        <f t="shared" si="361"/>
        <v>0</v>
      </c>
      <c r="V830" s="32">
        <f t="shared" si="361"/>
        <v>0</v>
      </c>
      <c r="W830" s="32">
        <f t="shared" si="361"/>
        <v>0</v>
      </c>
      <c r="X830" s="32">
        <f t="shared" si="361"/>
        <v>0</v>
      </c>
      <c r="Y830" s="32">
        <f t="shared" si="361"/>
        <v>0</v>
      </c>
      <c r="Z830" s="32">
        <f t="shared" si="361"/>
        <v>0</v>
      </c>
      <c r="AA830" s="32">
        <f t="shared" si="361"/>
        <v>0</v>
      </c>
      <c r="AB830" s="32">
        <f t="shared" si="361"/>
        <v>0</v>
      </c>
      <c r="AC830" s="32">
        <f t="shared" si="361"/>
        <v>61185.68</v>
      </c>
      <c r="AD830" s="32">
        <f t="shared" si="361"/>
        <v>150000</v>
      </c>
      <c r="AE830" s="32">
        <f t="shared" si="361"/>
        <v>0</v>
      </c>
      <c r="AF830" s="77" t="s">
        <v>801</v>
      </c>
      <c r="AG830" s="77" t="s">
        <v>801</v>
      </c>
      <c r="AH830" s="107" t="s">
        <v>801</v>
      </c>
      <c r="AT830" s="21" t="e">
        <f t="shared" si="353"/>
        <v>#N/A</v>
      </c>
    </row>
    <row r="831" spans="1:46" ht="61.5" x14ac:dyDescent="0.85">
      <c r="A831" s="21">
        <v>1</v>
      </c>
      <c r="B831" s="70">
        <f>SUBTOTAL(103,$A$535:A831)</f>
        <v>266</v>
      </c>
      <c r="C831" s="25" t="s">
        <v>114</v>
      </c>
      <c r="D831" s="32">
        <f t="shared" ref="D831" si="362">E831+F831+G831+H831+I831+J831+L831+N831+P831+R831+T831+U831+V831+W831+X831+Y831+Z831+AA831+AB831+AC831+AD831+AE831</f>
        <v>4290230.8800000008</v>
      </c>
      <c r="E831" s="32">
        <v>0</v>
      </c>
      <c r="F831" s="32">
        <v>0</v>
      </c>
      <c r="G831" s="32">
        <v>0</v>
      </c>
      <c r="H831" s="32">
        <v>0</v>
      </c>
      <c r="I831" s="32">
        <v>0</v>
      </c>
      <c r="J831" s="32">
        <v>0</v>
      </c>
      <c r="K831" s="34">
        <v>0</v>
      </c>
      <c r="L831" s="32">
        <v>0</v>
      </c>
      <c r="M831" s="32">
        <v>821.6</v>
      </c>
      <c r="N831" s="32">
        <v>4079045.2</v>
      </c>
      <c r="O831" s="32">
        <v>0</v>
      </c>
      <c r="P831" s="32">
        <v>0</v>
      </c>
      <c r="Q831" s="32">
        <v>0</v>
      </c>
      <c r="R831" s="32">
        <v>0</v>
      </c>
      <c r="S831" s="32">
        <v>0</v>
      </c>
      <c r="T831" s="32">
        <v>0</v>
      </c>
      <c r="U831" s="32">
        <v>0</v>
      </c>
      <c r="V831" s="32">
        <v>0</v>
      </c>
      <c r="W831" s="32">
        <v>0</v>
      </c>
      <c r="X831" s="32">
        <v>0</v>
      </c>
      <c r="Y831" s="32">
        <v>0</v>
      </c>
      <c r="Z831" s="32">
        <v>0</v>
      </c>
      <c r="AA831" s="32">
        <v>0</v>
      </c>
      <c r="AB831" s="32">
        <v>0</v>
      </c>
      <c r="AC831" s="32">
        <f>ROUND(N831*1.5%,2)</f>
        <v>61185.68</v>
      </c>
      <c r="AD831" s="32">
        <v>150000</v>
      </c>
      <c r="AE831" s="32">
        <v>0</v>
      </c>
      <c r="AF831" s="35">
        <v>2021</v>
      </c>
      <c r="AG831" s="35">
        <v>2021</v>
      </c>
      <c r="AH831" s="36">
        <v>2021</v>
      </c>
      <c r="AT831" s="21" t="e">
        <f t="shared" si="353"/>
        <v>#N/A</v>
      </c>
    </row>
    <row r="832" spans="1:46" ht="61.5" x14ac:dyDescent="0.85">
      <c r="B832" s="25" t="s">
        <v>927</v>
      </c>
      <c r="C832" s="25"/>
      <c r="D832" s="32">
        <f t="shared" ref="D832:AE832" si="363">D833</f>
        <v>2903320.8000000003</v>
      </c>
      <c r="E832" s="32">
        <f t="shared" si="363"/>
        <v>0</v>
      </c>
      <c r="F832" s="32">
        <f t="shared" si="363"/>
        <v>0</v>
      </c>
      <c r="G832" s="32">
        <f t="shared" si="363"/>
        <v>0</v>
      </c>
      <c r="H832" s="32">
        <f t="shared" si="363"/>
        <v>0</v>
      </c>
      <c r="I832" s="32">
        <f t="shared" si="363"/>
        <v>0</v>
      </c>
      <c r="J832" s="32">
        <f t="shared" si="363"/>
        <v>0</v>
      </c>
      <c r="K832" s="34">
        <f t="shared" si="363"/>
        <v>0</v>
      </c>
      <c r="L832" s="32">
        <f t="shared" si="363"/>
        <v>0</v>
      </c>
      <c r="M832" s="32">
        <f t="shared" si="363"/>
        <v>556</v>
      </c>
      <c r="N832" s="32">
        <f t="shared" si="363"/>
        <v>2712631.33</v>
      </c>
      <c r="O832" s="32">
        <f t="shared" si="363"/>
        <v>0</v>
      </c>
      <c r="P832" s="32">
        <f t="shared" si="363"/>
        <v>0</v>
      </c>
      <c r="Q832" s="32">
        <f t="shared" si="363"/>
        <v>0</v>
      </c>
      <c r="R832" s="32">
        <f t="shared" si="363"/>
        <v>0</v>
      </c>
      <c r="S832" s="32">
        <f t="shared" si="363"/>
        <v>0</v>
      </c>
      <c r="T832" s="32">
        <f t="shared" si="363"/>
        <v>0</v>
      </c>
      <c r="U832" s="32">
        <f t="shared" si="363"/>
        <v>0</v>
      </c>
      <c r="V832" s="32">
        <f t="shared" si="363"/>
        <v>0</v>
      </c>
      <c r="W832" s="32">
        <f t="shared" si="363"/>
        <v>0</v>
      </c>
      <c r="X832" s="32">
        <f t="shared" si="363"/>
        <v>0</v>
      </c>
      <c r="Y832" s="32">
        <f t="shared" si="363"/>
        <v>0</v>
      </c>
      <c r="Z832" s="32">
        <f t="shared" si="363"/>
        <v>0</v>
      </c>
      <c r="AA832" s="32">
        <f t="shared" si="363"/>
        <v>0</v>
      </c>
      <c r="AB832" s="32">
        <f t="shared" si="363"/>
        <v>0</v>
      </c>
      <c r="AC832" s="32">
        <f t="shared" si="363"/>
        <v>40689.47</v>
      </c>
      <c r="AD832" s="32">
        <f t="shared" si="363"/>
        <v>150000</v>
      </c>
      <c r="AE832" s="32">
        <f t="shared" si="363"/>
        <v>0</v>
      </c>
      <c r="AF832" s="77" t="s">
        <v>801</v>
      </c>
      <c r="AG832" s="77" t="s">
        <v>801</v>
      </c>
      <c r="AH832" s="107" t="s">
        <v>801</v>
      </c>
      <c r="AT832" s="21" t="e">
        <f t="shared" si="353"/>
        <v>#N/A</v>
      </c>
    </row>
    <row r="833" spans="1:46" ht="61.5" x14ac:dyDescent="0.85">
      <c r="A833" s="21">
        <v>1</v>
      </c>
      <c r="B833" s="70">
        <f>SUBTOTAL(103,$A$535:A833)</f>
        <v>267</v>
      </c>
      <c r="C833" s="25" t="s">
        <v>113</v>
      </c>
      <c r="D833" s="32">
        <f t="shared" ref="D833" si="364">E833+F833+G833+H833+I833+J833+L833+N833+P833+R833+T833+U833+V833+W833+X833+Y833+Z833+AA833+AB833+AC833+AD833+AE833</f>
        <v>2903320.8000000003</v>
      </c>
      <c r="E833" s="32">
        <v>0</v>
      </c>
      <c r="F833" s="32">
        <v>0</v>
      </c>
      <c r="G833" s="32">
        <v>0</v>
      </c>
      <c r="H833" s="32">
        <v>0</v>
      </c>
      <c r="I833" s="32">
        <v>0</v>
      </c>
      <c r="J833" s="32">
        <v>0</v>
      </c>
      <c r="K833" s="34">
        <v>0</v>
      </c>
      <c r="L833" s="32">
        <v>0</v>
      </c>
      <c r="M833" s="32">
        <v>556</v>
      </c>
      <c r="N833" s="32">
        <v>2712631.33</v>
      </c>
      <c r="O833" s="32">
        <v>0</v>
      </c>
      <c r="P833" s="32">
        <v>0</v>
      </c>
      <c r="Q833" s="32">
        <v>0</v>
      </c>
      <c r="R833" s="32">
        <v>0</v>
      </c>
      <c r="S833" s="32">
        <v>0</v>
      </c>
      <c r="T833" s="32">
        <v>0</v>
      </c>
      <c r="U833" s="32">
        <v>0</v>
      </c>
      <c r="V833" s="32">
        <v>0</v>
      </c>
      <c r="W833" s="32">
        <v>0</v>
      </c>
      <c r="X833" s="32">
        <v>0</v>
      </c>
      <c r="Y833" s="32">
        <v>0</v>
      </c>
      <c r="Z833" s="32">
        <v>0</v>
      </c>
      <c r="AA833" s="32">
        <v>0</v>
      </c>
      <c r="AB833" s="32">
        <v>0</v>
      </c>
      <c r="AC833" s="32">
        <f>ROUND(N833*1.5%,2)</f>
        <v>40689.47</v>
      </c>
      <c r="AD833" s="32">
        <v>150000</v>
      </c>
      <c r="AE833" s="32">
        <v>0</v>
      </c>
      <c r="AF833" s="35">
        <v>2021</v>
      </c>
      <c r="AG833" s="35">
        <v>2021</v>
      </c>
      <c r="AH833" s="36">
        <v>2021</v>
      </c>
      <c r="AT833" s="21" t="e">
        <f t="shared" si="353"/>
        <v>#N/A</v>
      </c>
    </row>
    <row r="834" spans="1:46" ht="61.5" x14ac:dyDescent="0.85">
      <c r="B834" s="25" t="s">
        <v>893</v>
      </c>
      <c r="C834" s="110"/>
      <c r="D834" s="32">
        <f t="shared" ref="D834:AE834" si="365">D835</f>
        <v>3826397.3000000003</v>
      </c>
      <c r="E834" s="32">
        <f t="shared" si="365"/>
        <v>0</v>
      </c>
      <c r="F834" s="32">
        <f t="shared" si="365"/>
        <v>0</v>
      </c>
      <c r="G834" s="32">
        <f t="shared" si="365"/>
        <v>0</v>
      </c>
      <c r="H834" s="32">
        <f t="shared" si="365"/>
        <v>0</v>
      </c>
      <c r="I834" s="32">
        <f t="shared" si="365"/>
        <v>0</v>
      </c>
      <c r="J834" s="32">
        <f t="shared" si="365"/>
        <v>0</v>
      </c>
      <c r="K834" s="34">
        <f t="shared" si="365"/>
        <v>0</v>
      </c>
      <c r="L834" s="32">
        <f t="shared" si="365"/>
        <v>0</v>
      </c>
      <c r="M834" s="32">
        <f t="shared" si="365"/>
        <v>794.3</v>
      </c>
      <c r="N834" s="32">
        <f t="shared" si="365"/>
        <v>3622066.31</v>
      </c>
      <c r="O834" s="32">
        <f t="shared" si="365"/>
        <v>0</v>
      </c>
      <c r="P834" s="32">
        <f t="shared" si="365"/>
        <v>0</v>
      </c>
      <c r="Q834" s="32">
        <f t="shared" si="365"/>
        <v>0</v>
      </c>
      <c r="R834" s="32">
        <f t="shared" si="365"/>
        <v>0</v>
      </c>
      <c r="S834" s="32">
        <f t="shared" si="365"/>
        <v>0</v>
      </c>
      <c r="T834" s="32">
        <f t="shared" si="365"/>
        <v>0</v>
      </c>
      <c r="U834" s="32">
        <f t="shared" si="365"/>
        <v>0</v>
      </c>
      <c r="V834" s="32">
        <f t="shared" si="365"/>
        <v>0</v>
      </c>
      <c r="W834" s="32">
        <f t="shared" si="365"/>
        <v>0</v>
      </c>
      <c r="X834" s="32">
        <f t="shared" si="365"/>
        <v>0</v>
      </c>
      <c r="Y834" s="32">
        <f t="shared" si="365"/>
        <v>0</v>
      </c>
      <c r="Z834" s="32">
        <f t="shared" si="365"/>
        <v>0</v>
      </c>
      <c r="AA834" s="32">
        <f t="shared" si="365"/>
        <v>0</v>
      </c>
      <c r="AB834" s="32">
        <f t="shared" si="365"/>
        <v>0</v>
      </c>
      <c r="AC834" s="32">
        <f t="shared" si="365"/>
        <v>54330.99</v>
      </c>
      <c r="AD834" s="32">
        <f t="shared" si="365"/>
        <v>150000</v>
      </c>
      <c r="AE834" s="32">
        <f t="shared" si="365"/>
        <v>0</v>
      </c>
      <c r="AF834" s="77" t="s">
        <v>801</v>
      </c>
      <c r="AG834" s="77" t="s">
        <v>801</v>
      </c>
      <c r="AH834" s="107" t="s">
        <v>801</v>
      </c>
      <c r="AT834" s="21" t="e">
        <f t="shared" si="353"/>
        <v>#N/A</v>
      </c>
    </row>
    <row r="835" spans="1:46" ht="61.5" x14ac:dyDescent="0.85">
      <c r="A835" s="21">
        <v>1</v>
      </c>
      <c r="B835" s="70">
        <f>SUBTOTAL(103,$A$535:A835)</f>
        <v>268</v>
      </c>
      <c r="C835" s="25" t="s">
        <v>58</v>
      </c>
      <c r="D835" s="32">
        <f t="shared" ref="D835" si="366">E835+F835+G835+H835+I835+J835+L835+N835+P835+R835+T835+U835+V835+W835+X835+Y835+Z835+AA835+AB835+AC835+AD835+AE835</f>
        <v>3826397.3000000003</v>
      </c>
      <c r="E835" s="32">
        <v>0</v>
      </c>
      <c r="F835" s="32">
        <v>0</v>
      </c>
      <c r="G835" s="32">
        <v>0</v>
      </c>
      <c r="H835" s="32">
        <v>0</v>
      </c>
      <c r="I835" s="32">
        <v>0</v>
      </c>
      <c r="J835" s="32">
        <v>0</v>
      </c>
      <c r="K835" s="34">
        <v>0</v>
      </c>
      <c r="L835" s="32">
        <v>0</v>
      </c>
      <c r="M835" s="32">
        <v>794.3</v>
      </c>
      <c r="N835" s="32">
        <v>3622066.31</v>
      </c>
      <c r="O835" s="32">
        <v>0</v>
      </c>
      <c r="P835" s="32">
        <v>0</v>
      </c>
      <c r="Q835" s="32">
        <v>0</v>
      </c>
      <c r="R835" s="32">
        <v>0</v>
      </c>
      <c r="S835" s="32">
        <v>0</v>
      </c>
      <c r="T835" s="32">
        <v>0</v>
      </c>
      <c r="U835" s="32">
        <v>0</v>
      </c>
      <c r="V835" s="32">
        <v>0</v>
      </c>
      <c r="W835" s="32">
        <v>0</v>
      </c>
      <c r="X835" s="32">
        <v>0</v>
      </c>
      <c r="Y835" s="32">
        <v>0</v>
      </c>
      <c r="Z835" s="32">
        <v>0</v>
      </c>
      <c r="AA835" s="32">
        <v>0</v>
      </c>
      <c r="AB835" s="32">
        <v>0</v>
      </c>
      <c r="AC835" s="32">
        <f>ROUND(N835*1.5%,2)</f>
        <v>54330.99</v>
      </c>
      <c r="AD835" s="32">
        <v>150000</v>
      </c>
      <c r="AE835" s="32">
        <v>0</v>
      </c>
      <c r="AF835" s="35">
        <v>2021</v>
      </c>
      <c r="AG835" s="35">
        <v>2021</v>
      </c>
      <c r="AH835" s="36">
        <v>2021</v>
      </c>
      <c r="AT835" s="21" t="e">
        <f t="shared" si="353"/>
        <v>#N/A</v>
      </c>
    </row>
    <row r="836" spans="1:46" ht="61.5" x14ac:dyDescent="0.85">
      <c r="B836" s="25" t="s">
        <v>894</v>
      </c>
      <c r="C836" s="25"/>
      <c r="D836" s="32">
        <f t="shared" ref="D836:AE836" si="367">D837</f>
        <v>5858309.4800000004</v>
      </c>
      <c r="E836" s="32">
        <f t="shared" si="367"/>
        <v>0</v>
      </c>
      <c r="F836" s="32">
        <f t="shared" si="367"/>
        <v>0</v>
      </c>
      <c r="G836" s="32">
        <f t="shared" si="367"/>
        <v>0</v>
      </c>
      <c r="H836" s="32">
        <f t="shared" si="367"/>
        <v>0</v>
      </c>
      <c r="I836" s="32">
        <f t="shared" si="367"/>
        <v>0</v>
      </c>
      <c r="J836" s="32">
        <f t="shared" si="367"/>
        <v>0</v>
      </c>
      <c r="K836" s="34">
        <f t="shared" si="367"/>
        <v>0</v>
      </c>
      <c r="L836" s="32">
        <f t="shared" si="367"/>
        <v>0</v>
      </c>
      <c r="M836" s="32">
        <f t="shared" si="367"/>
        <v>1576</v>
      </c>
      <c r="N836" s="32">
        <f t="shared" si="367"/>
        <v>5594393.5800000001</v>
      </c>
      <c r="O836" s="32">
        <f t="shared" si="367"/>
        <v>0</v>
      </c>
      <c r="P836" s="32">
        <f t="shared" si="367"/>
        <v>0</v>
      </c>
      <c r="Q836" s="32">
        <f t="shared" si="367"/>
        <v>0</v>
      </c>
      <c r="R836" s="32">
        <f t="shared" si="367"/>
        <v>0</v>
      </c>
      <c r="S836" s="32">
        <f t="shared" si="367"/>
        <v>0</v>
      </c>
      <c r="T836" s="32">
        <f t="shared" si="367"/>
        <v>0</v>
      </c>
      <c r="U836" s="32">
        <f t="shared" si="367"/>
        <v>0</v>
      </c>
      <c r="V836" s="32">
        <f t="shared" si="367"/>
        <v>0</v>
      </c>
      <c r="W836" s="32">
        <f t="shared" si="367"/>
        <v>0</v>
      </c>
      <c r="X836" s="32">
        <f t="shared" si="367"/>
        <v>0</v>
      </c>
      <c r="Y836" s="32">
        <f t="shared" si="367"/>
        <v>0</v>
      </c>
      <c r="Z836" s="32">
        <f t="shared" si="367"/>
        <v>0</v>
      </c>
      <c r="AA836" s="32">
        <f t="shared" si="367"/>
        <v>0</v>
      </c>
      <c r="AB836" s="32">
        <f t="shared" si="367"/>
        <v>0</v>
      </c>
      <c r="AC836" s="32">
        <f t="shared" si="367"/>
        <v>83915.9</v>
      </c>
      <c r="AD836" s="32">
        <f t="shared" si="367"/>
        <v>180000</v>
      </c>
      <c r="AE836" s="32">
        <f t="shared" si="367"/>
        <v>0</v>
      </c>
      <c r="AF836" s="77" t="s">
        <v>801</v>
      </c>
      <c r="AG836" s="77" t="s">
        <v>801</v>
      </c>
      <c r="AH836" s="107" t="s">
        <v>801</v>
      </c>
      <c r="AT836" s="21" t="e">
        <f t="shared" si="353"/>
        <v>#N/A</v>
      </c>
    </row>
    <row r="837" spans="1:46" ht="61.5" x14ac:dyDescent="0.85">
      <c r="A837" s="21">
        <v>1</v>
      </c>
      <c r="B837" s="70">
        <f>SUBTOTAL(103,$A$535:A837)</f>
        <v>269</v>
      </c>
      <c r="C837" s="25" t="s">
        <v>41</v>
      </c>
      <c r="D837" s="32">
        <f t="shared" ref="D837" si="368">E837+F837+G837+H837+I837+J837+L837+N837+P837+R837+T837+U837+V837+W837+X837+Y837+Z837+AA837+AB837+AC837+AD837+AE837</f>
        <v>5858309.4800000004</v>
      </c>
      <c r="E837" s="32">
        <v>0</v>
      </c>
      <c r="F837" s="32">
        <v>0</v>
      </c>
      <c r="G837" s="32">
        <v>0</v>
      </c>
      <c r="H837" s="32">
        <v>0</v>
      </c>
      <c r="I837" s="32">
        <v>0</v>
      </c>
      <c r="J837" s="32">
        <v>0</v>
      </c>
      <c r="K837" s="34">
        <v>0</v>
      </c>
      <c r="L837" s="32">
        <v>0</v>
      </c>
      <c r="M837" s="32">
        <v>1576</v>
      </c>
      <c r="N837" s="32">
        <v>5594393.5800000001</v>
      </c>
      <c r="O837" s="32">
        <v>0</v>
      </c>
      <c r="P837" s="32">
        <v>0</v>
      </c>
      <c r="Q837" s="32">
        <v>0</v>
      </c>
      <c r="R837" s="32">
        <v>0</v>
      </c>
      <c r="S837" s="32">
        <v>0</v>
      </c>
      <c r="T837" s="32">
        <v>0</v>
      </c>
      <c r="U837" s="32">
        <v>0</v>
      </c>
      <c r="V837" s="32">
        <v>0</v>
      </c>
      <c r="W837" s="32">
        <v>0</v>
      </c>
      <c r="X837" s="32">
        <v>0</v>
      </c>
      <c r="Y837" s="32">
        <v>0</v>
      </c>
      <c r="Z837" s="32">
        <v>0</v>
      </c>
      <c r="AA837" s="32">
        <v>0</v>
      </c>
      <c r="AB837" s="32">
        <v>0</v>
      </c>
      <c r="AC837" s="32">
        <f>ROUND(N837*1.5%,2)</f>
        <v>83915.9</v>
      </c>
      <c r="AD837" s="32">
        <v>180000</v>
      </c>
      <c r="AE837" s="32">
        <v>0</v>
      </c>
      <c r="AF837" s="35">
        <v>2021</v>
      </c>
      <c r="AG837" s="35">
        <v>2021</v>
      </c>
      <c r="AH837" s="36">
        <v>2021</v>
      </c>
      <c r="AT837" s="21" t="e">
        <f t="shared" si="353"/>
        <v>#N/A</v>
      </c>
    </row>
    <row r="838" spans="1:46" ht="61.5" x14ac:dyDescent="0.85">
      <c r="B838" s="25" t="s">
        <v>928</v>
      </c>
      <c r="C838" s="25"/>
      <c r="D838" s="32">
        <f t="shared" ref="D838:AE838" si="369">D839</f>
        <v>3274450.4</v>
      </c>
      <c r="E838" s="32">
        <f t="shared" si="369"/>
        <v>0</v>
      </c>
      <c r="F838" s="32">
        <f t="shared" si="369"/>
        <v>0</v>
      </c>
      <c r="G838" s="32">
        <f t="shared" si="369"/>
        <v>0</v>
      </c>
      <c r="H838" s="32">
        <f t="shared" si="369"/>
        <v>0</v>
      </c>
      <c r="I838" s="32">
        <f t="shared" si="369"/>
        <v>0</v>
      </c>
      <c r="J838" s="32">
        <f t="shared" si="369"/>
        <v>0</v>
      </c>
      <c r="K838" s="34">
        <f t="shared" si="369"/>
        <v>0</v>
      </c>
      <c r="L838" s="32">
        <f t="shared" si="369"/>
        <v>0</v>
      </c>
      <c r="M838" s="32">
        <f t="shared" si="369"/>
        <v>609.79999999999995</v>
      </c>
      <c r="N838" s="32">
        <f t="shared" si="369"/>
        <v>3078276.26</v>
      </c>
      <c r="O838" s="32">
        <f t="shared" si="369"/>
        <v>0</v>
      </c>
      <c r="P838" s="32">
        <f t="shared" si="369"/>
        <v>0</v>
      </c>
      <c r="Q838" s="32">
        <f t="shared" si="369"/>
        <v>0</v>
      </c>
      <c r="R838" s="32">
        <f t="shared" si="369"/>
        <v>0</v>
      </c>
      <c r="S838" s="32">
        <f t="shared" si="369"/>
        <v>0</v>
      </c>
      <c r="T838" s="32">
        <f t="shared" si="369"/>
        <v>0</v>
      </c>
      <c r="U838" s="32">
        <f t="shared" si="369"/>
        <v>0</v>
      </c>
      <c r="V838" s="32">
        <f t="shared" si="369"/>
        <v>0</v>
      </c>
      <c r="W838" s="32">
        <f t="shared" si="369"/>
        <v>0</v>
      </c>
      <c r="X838" s="32">
        <f t="shared" si="369"/>
        <v>0</v>
      </c>
      <c r="Y838" s="32">
        <f t="shared" si="369"/>
        <v>0</v>
      </c>
      <c r="Z838" s="32">
        <f t="shared" si="369"/>
        <v>0</v>
      </c>
      <c r="AA838" s="32">
        <f t="shared" si="369"/>
        <v>0</v>
      </c>
      <c r="AB838" s="32">
        <f t="shared" si="369"/>
        <v>0</v>
      </c>
      <c r="AC838" s="32">
        <f t="shared" si="369"/>
        <v>46174.14</v>
      </c>
      <c r="AD838" s="32">
        <f t="shared" si="369"/>
        <v>150000</v>
      </c>
      <c r="AE838" s="32">
        <f t="shared" si="369"/>
        <v>0</v>
      </c>
      <c r="AF838" s="77" t="s">
        <v>801</v>
      </c>
      <c r="AG838" s="77" t="s">
        <v>801</v>
      </c>
      <c r="AH838" s="107" t="s">
        <v>801</v>
      </c>
      <c r="AT838" s="21" t="e">
        <f t="shared" si="353"/>
        <v>#N/A</v>
      </c>
    </row>
    <row r="839" spans="1:46" ht="61.5" x14ac:dyDescent="0.85">
      <c r="A839" s="21">
        <v>1</v>
      </c>
      <c r="B839" s="70">
        <f>SUBTOTAL(103,$A$535:A839)</f>
        <v>270</v>
      </c>
      <c r="C839" s="25" t="s">
        <v>56</v>
      </c>
      <c r="D839" s="32">
        <f t="shared" ref="D839" si="370">E839+F839+G839+H839+I839+J839+L839+N839+P839+R839+T839+U839+V839+W839+X839+Y839+Z839+AA839+AB839+AC839+AD839+AE839</f>
        <v>3274450.4</v>
      </c>
      <c r="E839" s="32">
        <v>0</v>
      </c>
      <c r="F839" s="32">
        <v>0</v>
      </c>
      <c r="G839" s="32">
        <v>0</v>
      </c>
      <c r="H839" s="32">
        <v>0</v>
      </c>
      <c r="I839" s="32">
        <v>0</v>
      </c>
      <c r="J839" s="32">
        <v>0</v>
      </c>
      <c r="K839" s="34">
        <v>0</v>
      </c>
      <c r="L839" s="32">
        <v>0</v>
      </c>
      <c r="M839" s="32">
        <v>609.79999999999995</v>
      </c>
      <c r="N839" s="32">
        <v>3078276.26</v>
      </c>
      <c r="O839" s="32">
        <v>0</v>
      </c>
      <c r="P839" s="32">
        <v>0</v>
      </c>
      <c r="Q839" s="32">
        <v>0</v>
      </c>
      <c r="R839" s="32">
        <v>0</v>
      </c>
      <c r="S839" s="32">
        <v>0</v>
      </c>
      <c r="T839" s="32">
        <v>0</v>
      </c>
      <c r="U839" s="32">
        <v>0</v>
      </c>
      <c r="V839" s="32">
        <v>0</v>
      </c>
      <c r="W839" s="32">
        <v>0</v>
      </c>
      <c r="X839" s="32">
        <v>0</v>
      </c>
      <c r="Y839" s="32">
        <v>0</v>
      </c>
      <c r="Z839" s="32">
        <v>0</v>
      </c>
      <c r="AA839" s="32">
        <v>0</v>
      </c>
      <c r="AB839" s="32">
        <v>0</v>
      </c>
      <c r="AC839" s="32">
        <f>ROUND(N839*1.5%,2)</f>
        <v>46174.14</v>
      </c>
      <c r="AD839" s="32">
        <v>150000</v>
      </c>
      <c r="AE839" s="32">
        <v>0</v>
      </c>
      <c r="AF839" s="35">
        <v>2021</v>
      </c>
      <c r="AG839" s="35">
        <v>2021</v>
      </c>
      <c r="AH839" s="36">
        <v>2021</v>
      </c>
      <c r="AT839" s="21" t="e">
        <f t="shared" si="353"/>
        <v>#N/A</v>
      </c>
    </row>
    <row r="840" spans="1:46" ht="61.5" x14ac:dyDescent="0.85">
      <c r="B840" s="25" t="s">
        <v>895</v>
      </c>
      <c r="C840" s="25"/>
      <c r="D840" s="32">
        <f t="shared" ref="D840:AE840" si="371">D841+D842</f>
        <v>8667488.9900000002</v>
      </c>
      <c r="E840" s="32">
        <f t="shared" si="371"/>
        <v>0</v>
      </c>
      <c r="F840" s="32">
        <f t="shared" si="371"/>
        <v>0</v>
      </c>
      <c r="G840" s="32">
        <f t="shared" si="371"/>
        <v>3177624.7</v>
      </c>
      <c r="H840" s="32">
        <f t="shared" si="371"/>
        <v>1177032.5</v>
      </c>
      <c r="I840" s="32">
        <f t="shared" si="371"/>
        <v>0</v>
      </c>
      <c r="J840" s="32">
        <f t="shared" si="371"/>
        <v>0</v>
      </c>
      <c r="K840" s="34">
        <f t="shared" si="371"/>
        <v>0</v>
      </c>
      <c r="L840" s="32">
        <f t="shared" si="371"/>
        <v>0</v>
      </c>
      <c r="M840" s="32">
        <f t="shared" si="371"/>
        <v>716.7</v>
      </c>
      <c r="N840" s="32">
        <f t="shared" si="371"/>
        <v>3741391.06</v>
      </c>
      <c r="O840" s="32">
        <f t="shared" si="371"/>
        <v>0</v>
      </c>
      <c r="P840" s="32">
        <f t="shared" si="371"/>
        <v>0</v>
      </c>
      <c r="Q840" s="32">
        <f t="shared" si="371"/>
        <v>0</v>
      </c>
      <c r="R840" s="32">
        <f t="shared" si="371"/>
        <v>0</v>
      </c>
      <c r="S840" s="32">
        <f t="shared" si="371"/>
        <v>0</v>
      </c>
      <c r="T840" s="32">
        <f t="shared" si="371"/>
        <v>0</v>
      </c>
      <c r="U840" s="32">
        <f t="shared" si="371"/>
        <v>0</v>
      </c>
      <c r="V840" s="32">
        <f t="shared" si="371"/>
        <v>0</v>
      </c>
      <c r="W840" s="32">
        <f t="shared" si="371"/>
        <v>0</v>
      </c>
      <c r="X840" s="32">
        <f t="shared" si="371"/>
        <v>0</v>
      </c>
      <c r="Y840" s="32">
        <f t="shared" si="371"/>
        <v>0</v>
      </c>
      <c r="Z840" s="32">
        <f t="shared" si="371"/>
        <v>0</v>
      </c>
      <c r="AA840" s="32">
        <f t="shared" si="371"/>
        <v>0</v>
      </c>
      <c r="AB840" s="32">
        <f t="shared" si="371"/>
        <v>0</v>
      </c>
      <c r="AC840" s="32">
        <f t="shared" si="371"/>
        <v>121440.73000000001</v>
      </c>
      <c r="AD840" s="32">
        <f t="shared" si="371"/>
        <v>450000</v>
      </c>
      <c r="AE840" s="32">
        <f t="shared" si="371"/>
        <v>0</v>
      </c>
      <c r="AF840" s="77" t="s">
        <v>801</v>
      </c>
      <c r="AG840" s="77" t="s">
        <v>801</v>
      </c>
      <c r="AH840" s="107" t="s">
        <v>801</v>
      </c>
      <c r="AT840" s="21" t="e">
        <f t="shared" si="353"/>
        <v>#N/A</v>
      </c>
    </row>
    <row r="841" spans="1:46" ht="61.5" x14ac:dyDescent="0.85">
      <c r="A841" s="21">
        <v>1</v>
      </c>
      <c r="B841" s="70">
        <f>SUBTOTAL(103,$A$535:A841)</f>
        <v>271</v>
      </c>
      <c r="C841" s="25" t="s">
        <v>57</v>
      </c>
      <c r="D841" s="32">
        <f t="shared" ref="D841:D842" si="372">E841+F841+G841+H841+I841+J841+L841+N841+P841+R841+T841+U841+V841+W841+X841+Y841+Z841+AA841+AB841+AC841+AD841+AE841</f>
        <v>4719977.0600000005</v>
      </c>
      <c r="E841" s="32">
        <v>0</v>
      </c>
      <c r="F841" s="32">
        <v>0</v>
      </c>
      <c r="G841" s="32">
        <v>3177624.7</v>
      </c>
      <c r="H841" s="32">
        <v>1177032.5</v>
      </c>
      <c r="I841" s="32">
        <v>0</v>
      </c>
      <c r="J841" s="32">
        <v>0</v>
      </c>
      <c r="K841" s="34">
        <v>0</v>
      </c>
      <c r="L841" s="32">
        <v>0</v>
      </c>
      <c r="M841" s="32">
        <v>0</v>
      </c>
      <c r="N841" s="32">
        <v>0</v>
      </c>
      <c r="O841" s="32">
        <v>0</v>
      </c>
      <c r="P841" s="32">
        <v>0</v>
      </c>
      <c r="Q841" s="32">
        <v>0</v>
      </c>
      <c r="R841" s="32">
        <v>0</v>
      </c>
      <c r="S841" s="32">
        <v>0</v>
      </c>
      <c r="T841" s="32">
        <v>0</v>
      </c>
      <c r="U841" s="32">
        <v>0</v>
      </c>
      <c r="V841" s="32">
        <v>0</v>
      </c>
      <c r="W841" s="32">
        <v>0</v>
      </c>
      <c r="X841" s="32">
        <v>0</v>
      </c>
      <c r="Y841" s="32">
        <v>0</v>
      </c>
      <c r="Z841" s="32">
        <v>0</v>
      </c>
      <c r="AA841" s="32">
        <v>0</v>
      </c>
      <c r="AB841" s="32">
        <v>0</v>
      </c>
      <c r="AC841" s="32">
        <f>ROUND((E841+F841+G841+H841+I841+J841)*1.5%,2)</f>
        <v>65319.86</v>
      </c>
      <c r="AD841" s="32">
        <v>300000</v>
      </c>
      <c r="AE841" s="32">
        <v>0</v>
      </c>
      <c r="AF841" s="35">
        <v>2021</v>
      </c>
      <c r="AG841" s="35">
        <v>2021</v>
      </c>
      <c r="AH841" s="36">
        <v>2021</v>
      </c>
      <c r="AT841" s="21" t="e">
        <f t="shared" si="353"/>
        <v>#N/A</v>
      </c>
    </row>
    <row r="842" spans="1:46" ht="61.5" x14ac:dyDescent="0.85">
      <c r="A842" s="21">
        <v>1</v>
      </c>
      <c r="B842" s="70">
        <f>SUBTOTAL(103,$A$535:A842)</f>
        <v>272</v>
      </c>
      <c r="C842" s="25" t="s">
        <v>46</v>
      </c>
      <c r="D842" s="32">
        <f t="shared" si="372"/>
        <v>3947511.93</v>
      </c>
      <c r="E842" s="32">
        <v>0</v>
      </c>
      <c r="F842" s="32">
        <v>0</v>
      </c>
      <c r="G842" s="32">
        <v>0</v>
      </c>
      <c r="H842" s="32">
        <v>0</v>
      </c>
      <c r="I842" s="32">
        <v>0</v>
      </c>
      <c r="J842" s="32">
        <v>0</v>
      </c>
      <c r="K842" s="34">
        <v>0</v>
      </c>
      <c r="L842" s="32">
        <v>0</v>
      </c>
      <c r="M842" s="32">
        <v>716.7</v>
      </c>
      <c r="N842" s="32">
        <v>3741391.06</v>
      </c>
      <c r="O842" s="32">
        <v>0</v>
      </c>
      <c r="P842" s="32">
        <v>0</v>
      </c>
      <c r="Q842" s="32">
        <v>0</v>
      </c>
      <c r="R842" s="32">
        <v>0</v>
      </c>
      <c r="S842" s="32">
        <v>0</v>
      </c>
      <c r="T842" s="32">
        <v>0</v>
      </c>
      <c r="U842" s="32">
        <v>0</v>
      </c>
      <c r="V842" s="32">
        <v>0</v>
      </c>
      <c r="W842" s="32">
        <v>0</v>
      </c>
      <c r="X842" s="32">
        <v>0</v>
      </c>
      <c r="Y842" s="32">
        <v>0</v>
      </c>
      <c r="Z842" s="32">
        <v>0</v>
      </c>
      <c r="AA842" s="32">
        <v>0</v>
      </c>
      <c r="AB842" s="32">
        <v>0</v>
      </c>
      <c r="AC842" s="32">
        <f>ROUND(N842*1.5%,2)</f>
        <v>56120.87</v>
      </c>
      <c r="AD842" s="32">
        <v>150000</v>
      </c>
      <c r="AE842" s="32">
        <v>0</v>
      </c>
      <c r="AF842" s="35">
        <v>2021</v>
      </c>
      <c r="AG842" s="35">
        <v>2021</v>
      </c>
      <c r="AH842" s="36">
        <v>2021</v>
      </c>
      <c r="AT842" s="21" t="e">
        <f t="shared" si="353"/>
        <v>#N/A</v>
      </c>
    </row>
    <row r="843" spans="1:46" ht="61.5" x14ac:dyDescent="0.85">
      <c r="B843" s="25" t="s">
        <v>896</v>
      </c>
      <c r="C843" s="25"/>
      <c r="D843" s="32">
        <f t="shared" ref="D843:AE843" si="373">D844</f>
        <v>7408727.5099999998</v>
      </c>
      <c r="E843" s="32">
        <f t="shared" si="373"/>
        <v>0</v>
      </c>
      <c r="F843" s="32">
        <f t="shared" si="373"/>
        <v>0</v>
      </c>
      <c r="G843" s="32">
        <f t="shared" si="373"/>
        <v>0</v>
      </c>
      <c r="H843" s="32">
        <f t="shared" si="373"/>
        <v>0</v>
      </c>
      <c r="I843" s="32">
        <f t="shared" si="373"/>
        <v>0</v>
      </c>
      <c r="J843" s="32">
        <f t="shared" si="373"/>
        <v>0</v>
      </c>
      <c r="K843" s="34">
        <f t="shared" si="373"/>
        <v>0</v>
      </c>
      <c r="L843" s="32">
        <f t="shared" si="373"/>
        <v>0</v>
      </c>
      <c r="M843" s="32">
        <f t="shared" si="373"/>
        <v>1669.2</v>
      </c>
      <c r="N843" s="32">
        <f t="shared" si="373"/>
        <v>7121899.0199999996</v>
      </c>
      <c r="O843" s="32">
        <f t="shared" si="373"/>
        <v>0</v>
      </c>
      <c r="P843" s="32">
        <f t="shared" si="373"/>
        <v>0</v>
      </c>
      <c r="Q843" s="32">
        <f t="shared" si="373"/>
        <v>0</v>
      </c>
      <c r="R843" s="32">
        <f t="shared" si="373"/>
        <v>0</v>
      </c>
      <c r="S843" s="32">
        <f t="shared" si="373"/>
        <v>0</v>
      </c>
      <c r="T843" s="32">
        <f t="shared" si="373"/>
        <v>0</v>
      </c>
      <c r="U843" s="32">
        <f t="shared" si="373"/>
        <v>0</v>
      </c>
      <c r="V843" s="32">
        <f t="shared" si="373"/>
        <v>0</v>
      </c>
      <c r="W843" s="32">
        <f t="shared" si="373"/>
        <v>0</v>
      </c>
      <c r="X843" s="32">
        <f t="shared" si="373"/>
        <v>0</v>
      </c>
      <c r="Y843" s="32">
        <f t="shared" si="373"/>
        <v>0</v>
      </c>
      <c r="Z843" s="32">
        <f t="shared" si="373"/>
        <v>0</v>
      </c>
      <c r="AA843" s="32">
        <f t="shared" si="373"/>
        <v>0</v>
      </c>
      <c r="AB843" s="32">
        <f t="shared" si="373"/>
        <v>0</v>
      </c>
      <c r="AC843" s="32">
        <f t="shared" si="373"/>
        <v>106828.49</v>
      </c>
      <c r="AD843" s="32">
        <f t="shared" si="373"/>
        <v>180000</v>
      </c>
      <c r="AE843" s="32">
        <f t="shared" si="373"/>
        <v>0</v>
      </c>
      <c r="AF843" s="77" t="s">
        <v>801</v>
      </c>
      <c r="AG843" s="77" t="s">
        <v>801</v>
      </c>
      <c r="AH843" s="107" t="s">
        <v>801</v>
      </c>
      <c r="AT843" s="21" t="e">
        <f t="shared" si="353"/>
        <v>#N/A</v>
      </c>
    </row>
    <row r="844" spans="1:46" ht="61.5" x14ac:dyDescent="0.85">
      <c r="A844" s="21">
        <v>1</v>
      </c>
      <c r="B844" s="70">
        <f>SUBTOTAL(103,$A$535:A844)</f>
        <v>273</v>
      </c>
      <c r="C844" s="25" t="s">
        <v>55</v>
      </c>
      <c r="D844" s="32">
        <f t="shared" ref="D844" si="374">E844+F844+G844+H844+I844+J844+L844+N844+P844+R844+T844+U844+V844+W844+X844+Y844+Z844+AA844+AB844+AC844+AD844+AE844</f>
        <v>7408727.5099999998</v>
      </c>
      <c r="E844" s="32">
        <v>0</v>
      </c>
      <c r="F844" s="32">
        <v>0</v>
      </c>
      <c r="G844" s="32">
        <v>0</v>
      </c>
      <c r="H844" s="32">
        <v>0</v>
      </c>
      <c r="I844" s="32">
        <v>0</v>
      </c>
      <c r="J844" s="32">
        <v>0</v>
      </c>
      <c r="K844" s="34">
        <v>0</v>
      </c>
      <c r="L844" s="32">
        <v>0</v>
      </c>
      <c r="M844" s="32">
        <v>1669.2</v>
      </c>
      <c r="N844" s="32">
        <v>7121899.0199999996</v>
      </c>
      <c r="O844" s="32">
        <v>0</v>
      </c>
      <c r="P844" s="32">
        <v>0</v>
      </c>
      <c r="Q844" s="32">
        <v>0</v>
      </c>
      <c r="R844" s="32">
        <v>0</v>
      </c>
      <c r="S844" s="32">
        <v>0</v>
      </c>
      <c r="T844" s="32">
        <v>0</v>
      </c>
      <c r="U844" s="32">
        <v>0</v>
      </c>
      <c r="V844" s="32">
        <v>0</v>
      </c>
      <c r="W844" s="32">
        <v>0</v>
      </c>
      <c r="X844" s="32">
        <v>0</v>
      </c>
      <c r="Y844" s="32">
        <v>0</v>
      </c>
      <c r="Z844" s="32">
        <v>0</v>
      </c>
      <c r="AA844" s="32">
        <v>0</v>
      </c>
      <c r="AB844" s="32">
        <v>0</v>
      </c>
      <c r="AC844" s="32">
        <f>ROUND(N844*1.5%,2)</f>
        <v>106828.49</v>
      </c>
      <c r="AD844" s="32">
        <v>180000</v>
      </c>
      <c r="AE844" s="32">
        <v>0</v>
      </c>
      <c r="AF844" s="35">
        <v>2021</v>
      </c>
      <c r="AG844" s="35">
        <v>2021</v>
      </c>
      <c r="AH844" s="36">
        <v>2021</v>
      </c>
      <c r="AT844" s="21" t="e">
        <f t="shared" si="353"/>
        <v>#N/A</v>
      </c>
    </row>
    <row r="845" spans="1:46" ht="61.5" x14ac:dyDescent="0.85">
      <c r="B845" s="25" t="s">
        <v>897</v>
      </c>
      <c r="C845" s="25"/>
      <c r="D845" s="32">
        <f t="shared" ref="D845:AE845" si="375">D846</f>
        <v>2311215.4500000002</v>
      </c>
      <c r="E845" s="32">
        <f t="shared" si="375"/>
        <v>0</v>
      </c>
      <c r="F845" s="32">
        <f t="shared" si="375"/>
        <v>0</v>
      </c>
      <c r="G845" s="32">
        <f t="shared" si="375"/>
        <v>0</v>
      </c>
      <c r="H845" s="32">
        <f t="shared" si="375"/>
        <v>0</v>
      </c>
      <c r="I845" s="32">
        <f t="shared" si="375"/>
        <v>0</v>
      </c>
      <c r="J845" s="32">
        <f t="shared" si="375"/>
        <v>0</v>
      </c>
      <c r="K845" s="34">
        <f t="shared" si="375"/>
        <v>0</v>
      </c>
      <c r="L845" s="32">
        <f t="shared" si="375"/>
        <v>0</v>
      </c>
      <c r="M845" s="32">
        <f t="shared" si="375"/>
        <v>444</v>
      </c>
      <c r="N845" s="32">
        <f t="shared" si="375"/>
        <v>2158832.96</v>
      </c>
      <c r="O845" s="32">
        <f t="shared" si="375"/>
        <v>0</v>
      </c>
      <c r="P845" s="32">
        <f t="shared" si="375"/>
        <v>0</v>
      </c>
      <c r="Q845" s="32">
        <f t="shared" si="375"/>
        <v>0</v>
      </c>
      <c r="R845" s="32">
        <f t="shared" si="375"/>
        <v>0</v>
      </c>
      <c r="S845" s="32">
        <f t="shared" si="375"/>
        <v>0</v>
      </c>
      <c r="T845" s="32">
        <f t="shared" si="375"/>
        <v>0</v>
      </c>
      <c r="U845" s="32">
        <f t="shared" si="375"/>
        <v>0</v>
      </c>
      <c r="V845" s="32">
        <f t="shared" si="375"/>
        <v>0</v>
      </c>
      <c r="W845" s="32">
        <f t="shared" si="375"/>
        <v>0</v>
      </c>
      <c r="X845" s="32">
        <f t="shared" si="375"/>
        <v>0</v>
      </c>
      <c r="Y845" s="32">
        <f t="shared" si="375"/>
        <v>0</v>
      </c>
      <c r="Z845" s="32">
        <f t="shared" si="375"/>
        <v>0</v>
      </c>
      <c r="AA845" s="32">
        <f t="shared" si="375"/>
        <v>0</v>
      </c>
      <c r="AB845" s="32">
        <f t="shared" si="375"/>
        <v>0</v>
      </c>
      <c r="AC845" s="32">
        <f t="shared" si="375"/>
        <v>32382.49</v>
      </c>
      <c r="AD845" s="32">
        <f t="shared" si="375"/>
        <v>120000</v>
      </c>
      <c r="AE845" s="32">
        <f t="shared" si="375"/>
        <v>0</v>
      </c>
      <c r="AF845" s="77" t="s">
        <v>801</v>
      </c>
      <c r="AG845" s="77" t="s">
        <v>801</v>
      </c>
      <c r="AH845" s="107" t="s">
        <v>801</v>
      </c>
      <c r="AT845" s="21" t="e">
        <f t="shared" si="353"/>
        <v>#N/A</v>
      </c>
    </row>
    <row r="846" spans="1:46" ht="61.5" x14ac:dyDescent="0.85">
      <c r="A846" s="21">
        <v>1</v>
      </c>
      <c r="B846" s="70">
        <f>SUBTOTAL(103,$A$535:A846)</f>
        <v>274</v>
      </c>
      <c r="C846" s="25" t="s">
        <v>54</v>
      </c>
      <c r="D846" s="32">
        <f t="shared" ref="D846" si="376">E846+F846+G846+H846+I846+J846+L846+N846+P846+R846+T846+U846+V846+W846+X846+Y846+Z846+AA846+AB846+AC846+AD846+AE846</f>
        <v>2311215.4500000002</v>
      </c>
      <c r="E846" s="32">
        <v>0</v>
      </c>
      <c r="F846" s="32">
        <v>0</v>
      </c>
      <c r="G846" s="32">
        <v>0</v>
      </c>
      <c r="H846" s="32">
        <v>0</v>
      </c>
      <c r="I846" s="32">
        <v>0</v>
      </c>
      <c r="J846" s="32">
        <v>0</v>
      </c>
      <c r="K846" s="34">
        <v>0</v>
      </c>
      <c r="L846" s="32">
        <v>0</v>
      </c>
      <c r="M846" s="32">
        <v>444</v>
      </c>
      <c r="N846" s="32">
        <v>2158832.96</v>
      </c>
      <c r="O846" s="32">
        <v>0</v>
      </c>
      <c r="P846" s="32">
        <v>0</v>
      </c>
      <c r="Q846" s="32">
        <v>0</v>
      </c>
      <c r="R846" s="32">
        <v>0</v>
      </c>
      <c r="S846" s="32">
        <v>0</v>
      </c>
      <c r="T846" s="32">
        <v>0</v>
      </c>
      <c r="U846" s="32">
        <v>0</v>
      </c>
      <c r="V846" s="32">
        <v>0</v>
      </c>
      <c r="W846" s="32">
        <v>0</v>
      </c>
      <c r="X846" s="32">
        <v>0</v>
      </c>
      <c r="Y846" s="32">
        <v>0</v>
      </c>
      <c r="Z846" s="32">
        <v>0</v>
      </c>
      <c r="AA846" s="32">
        <v>0</v>
      </c>
      <c r="AB846" s="32">
        <v>0</v>
      </c>
      <c r="AC846" s="32">
        <f>ROUND(N846*1.5%,2)</f>
        <v>32382.49</v>
      </c>
      <c r="AD846" s="32">
        <v>120000</v>
      </c>
      <c r="AE846" s="32">
        <v>0</v>
      </c>
      <c r="AF846" s="35">
        <v>2021</v>
      </c>
      <c r="AG846" s="35">
        <v>2021</v>
      </c>
      <c r="AH846" s="36">
        <v>2021</v>
      </c>
      <c r="AT846" s="21" t="e">
        <f t="shared" si="353"/>
        <v>#N/A</v>
      </c>
    </row>
    <row r="847" spans="1:46" ht="61.5" x14ac:dyDescent="0.85">
      <c r="B847" s="25" t="s">
        <v>898</v>
      </c>
      <c r="C847" s="25"/>
      <c r="D847" s="32">
        <f t="shared" ref="D847:AE847" si="377">SUM(D848:D852)</f>
        <v>16487311.32</v>
      </c>
      <c r="E847" s="32">
        <f t="shared" si="377"/>
        <v>0</v>
      </c>
      <c r="F847" s="32">
        <f t="shared" si="377"/>
        <v>0</v>
      </c>
      <c r="G847" s="32">
        <f t="shared" si="377"/>
        <v>0</v>
      </c>
      <c r="H847" s="32">
        <f t="shared" si="377"/>
        <v>0</v>
      </c>
      <c r="I847" s="32">
        <f t="shared" si="377"/>
        <v>0</v>
      </c>
      <c r="J847" s="32">
        <f t="shared" si="377"/>
        <v>0</v>
      </c>
      <c r="K847" s="34">
        <f t="shared" si="377"/>
        <v>0</v>
      </c>
      <c r="L847" s="32">
        <f t="shared" si="377"/>
        <v>0</v>
      </c>
      <c r="M847" s="32">
        <f t="shared" si="377"/>
        <v>3157.3999999999996</v>
      </c>
      <c r="N847" s="32">
        <f t="shared" si="377"/>
        <v>15504740.23</v>
      </c>
      <c r="O847" s="32">
        <f t="shared" si="377"/>
        <v>0</v>
      </c>
      <c r="P847" s="32">
        <f t="shared" si="377"/>
        <v>0</v>
      </c>
      <c r="Q847" s="32">
        <f t="shared" si="377"/>
        <v>0</v>
      </c>
      <c r="R847" s="32">
        <f t="shared" si="377"/>
        <v>0</v>
      </c>
      <c r="S847" s="32">
        <f t="shared" si="377"/>
        <v>0</v>
      </c>
      <c r="T847" s="32">
        <f t="shared" si="377"/>
        <v>0</v>
      </c>
      <c r="U847" s="32">
        <f t="shared" si="377"/>
        <v>0</v>
      </c>
      <c r="V847" s="32">
        <f t="shared" si="377"/>
        <v>0</v>
      </c>
      <c r="W847" s="32">
        <f t="shared" si="377"/>
        <v>0</v>
      </c>
      <c r="X847" s="32">
        <f t="shared" si="377"/>
        <v>0</v>
      </c>
      <c r="Y847" s="32">
        <f t="shared" si="377"/>
        <v>0</v>
      </c>
      <c r="Z847" s="32">
        <f t="shared" si="377"/>
        <v>0</v>
      </c>
      <c r="AA847" s="32">
        <f t="shared" si="377"/>
        <v>0</v>
      </c>
      <c r="AB847" s="32">
        <f t="shared" si="377"/>
        <v>0</v>
      </c>
      <c r="AC847" s="32">
        <f t="shared" si="377"/>
        <v>232571.09000000003</v>
      </c>
      <c r="AD847" s="32">
        <f t="shared" si="377"/>
        <v>750000</v>
      </c>
      <c r="AE847" s="32">
        <f t="shared" si="377"/>
        <v>0</v>
      </c>
      <c r="AF847" s="77" t="s">
        <v>801</v>
      </c>
      <c r="AG847" s="77" t="s">
        <v>801</v>
      </c>
      <c r="AH847" s="107" t="s">
        <v>801</v>
      </c>
      <c r="AT847" s="21" t="e">
        <f t="shared" si="353"/>
        <v>#N/A</v>
      </c>
    </row>
    <row r="848" spans="1:46" ht="61.5" x14ac:dyDescent="0.85">
      <c r="A848" s="21">
        <v>1</v>
      </c>
      <c r="B848" s="70">
        <f>SUBTOTAL(103,$A$535:A848)</f>
        <v>275</v>
      </c>
      <c r="C848" s="25" t="s">
        <v>61</v>
      </c>
      <c r="D848" s="32">
        <f t="shared" ref="D848:D852" si="378">E848+F848+G848+H848+I848+J848+L848+N848+P848+R848+T848+U848+V848+W848+X848+Y848+Z848+AA848+AB848+AC848+AD848+AE848</f>
        <v>3462053.4</v>
      </c>
      <c r="E848" s="32">
        <v>0</v>
      </c>
      <c r="F848" s="32">
        <v>0</v>
      </c>
      <c r="G848" s="32">
        <v>0</v>
      </c>
      <c r="H848" s="32">
        <v>0</v>
      </c>
      <c r="I848" s="32">
        <v>0</v>
      </c>
      <c r="J848" s="32">
        <v>0</v>
      </c>
      <c r="K848" s="34">
        <v>0</v>
      </c>
      <c r="L848" s="32">
        <v>0</v>
      </c>
      <c r="M848" s="32">
        <v>663</v>
      </c>
      <c r="N848" s="32">
        <v>3263106.8</v>
      </c>
      <c r="O848" s="32">
        <v>0</v>
      </c>
      <c r="P848" s="32">
        <v>0</v>
      </c>
      <c r="Q848" s="32">
        <v>0</v>
      </c>
      <c r="R848" s="32">
        <v>0</v>
      </c>
      <c r="S848" s="32">
        <v>0</v>
      </c>
      <c r="T848" s="32">
        <v>0</v>
      </c>
      <c r="U848" s="32">
        <v>0</v>
      </c>
      <c r="V848" s="32">
        <v>0</v>
      </c>
      <c r="W848" s="32">
        <v>0</v>
      </c>
      <c r="X848" s="32">
        <v>0</v>
      </c>
      <c r="Y848" s="32">
        <v>0</v>
      </c>
      <c r="Z848" s="32">
        <v>0</v>
      </c>
      <c r="AA848" s="32">
        <v>0</v>
      </c>
      <c r="AB848" s="32">
        <v>0</v>
      </c>
      <c r="AC848" s="32">
        <f t="shared" ref="AC848:AC852" si="379">ROUND(N848*1.5%,2)</f>
        <v>48946.6</v>
      </c>
      <c r="AD848" s="32">
        <v>150000</v>
      </c>
      <c r="AE848" s="32">
        <v>0</v>
      </c>
      <c r="AF848" s="35">
        <v>2021</v>
      </c>
      <c r="AG848" s="35">
        <v>2021</v>
      </c>
      <c r="AH848" s="36">
        <v>2021</v>
      </c>
      <c r="AT848" s="21" t="e">
        <f t="shared" si="353"/>
        <v>#N/A</v>
      </c>
    </row>
    <row r="849" spans="1:46" ht="61.5" x14ac:dyDescent="0.85">
      <c r="A849" s="21">
        <v>1</v>
      </c>
      <c r="B849" s="70">
        <f>SUBTOTAL(103,$A$535:A849)</f>
        <v>276</v>
      </c>
      <c r="C849" s="25" t="s">
        <v>62</v>
      </c>
      <c r="D849" s="32">
        <f t="shared" si="378"/>
        <v>3446388</v>
      </c>
      <c r="E849" s="32">
        <v>0</v>
      </c>
      <c r="F849" s="32">
        <v>0</v>
      </c>
      <c r="G849" s="32">
        <v>0</v>
      </c>
      <c r="H849" s="32">
        <v>0</v>
      </c>
      <c r="I849" s="32">
        <v>0</v>
      </c>
      <c r="J849" s="32">
        <v>0</v>
      </c>
      <c r="K849" s="34">
        <v>0</v>
      </c>
      <c r="L849" s="32">
        <v>0</v>
      </c>
      <c r="M849" s="32">
        <v>660</v>
      </c>
      <c r="N849" s="32">
        <v>3247672.91</v>
      </c>
      <c r="O849" s="32">
        <v>0</v>
      </c>
      <c r="P849" s="32">
        <v>0</v>
      </c>
      <c r="Q849" s="32">
        <v>0</v>
      </c>
      <c r="R849" s="32">
        <v>0</v>
      </c>
      <c r="S849" s="32">
        <v>0</v>
      </c>
      <c r="T849" s="32">
        <v>0</v>
      </c>
      <c r="U849" s="32">
        <v>0</v>
      </c>
      <c r="V849" s="32">
        <v>0</v>
      </c>
      <c r="W849" s="32">
        <v>0</v>
      </c>
      <c r="X849" s="32">
        <v>0</v>
      </c>
      <c r="Y849" s="32">
        <v>0</v>
      </c>
      <c r="Z849" s="32">
        <v>0</v>
      </c>
      <c r="AA849" s="32">
        <v>0</v>
      </c>
      <c r="AB849" s="32">
        <v>0</v>
      </c>
      <c r="AC849" s="32">
        <f t="shared" si="379"/>
        <v>48715.09</v>
      </c>
      <c r="AD849" s="32">
        <v>150000</v>
      </c>
      <c r="AE849" s="32">
        <v>0</v>
      </c>
      <c r="AF849" s="35">
        <v>2021</v>
      </c>
      <c r="AG849" s="35">
        <v>2021</v>
      </c>
      <c r="AH849" s="36">
        <v>2021</v>
      </c>
      <c r="AT849" s="21" t="e">
        <f t="shared" si="353"/>
        <v>#N/A</v>
      </c>
    </row>
    <row r="850" spans="1:46" ht="61.5" x14ac:dyDescent="0.85">
      <c r="A850" s="21">
        <v>1</v>
      </c>
      <c r="B850" s="70">
        <f>SUBTOTAL(103,$A$535:A850)</f>
        <v>277</v>
      </c>
      <c r="C850" s="25" t="s">
        <v>60</v>
      </c>
      <c r="D850" s="32">
        <f t="shared" si="378"/>
        <v>3378504.6</v>
      </c>
      <c r="E850" s="32">
        <v>0</v>
      </c>
      <c r="F850" s="32">
        <v>0</v>
      </c>
      <c r="G850" s="32">
        <v>0</v>
      </c>
      <c r="H850" s="32">
        <v>0</v>
      </c>
      <c r="I850" s="32">
        <v>0</v>
      </c>
      <c r="J850" s="32">
        <v>0</v>
      </c>
      <c r="K850" s="34">
        <v>0</v>
      </c>
      <c r="L850" s="32">
        <v>0</v>
      </c>
      <c r="M850" s="32">
        <v>647</v>
      </c>
      <c r="N850" s="32">
        <v>3180792.71</v>
      </c>
      <c r="O850" s="32">
        <v>0</v>
      </c>
      <c r="P850" s="32">
        <v>0</v>
      </c>
      <c r="Q850" s="32">
        <v>0</v>
      </c>
      <c r="R850" s="32">
        <v>0</v>
      </c>
      <c r="S850" s="32">
        <v>0</v>
      </c>
      <c r="T850" s="32">
        <v>0</v>
      </c>
      <c r="U850" s="32">
        <v>0</v>
      </c>
      <c r="V850" s="32">
        <v>0</v>
      </c>
      <c r="W850" s="32">
        <v>0</v>
      </c>
      <c r="X850" s="32">
        <v>0</v>
      </c>
      <c r="Y850" s="32">
        <v>0</v>
      </c>
      <c r="Z850" s="32">
        <v>0</v>
      </c>
      <c r="AA850" s="32">
        <v>0</v>
      </c>
      <c r="AB850" s="32">
        <v>0</v>
      </c>
      <c r="AC850" s="32">
        <f t="shared" si="379"/>
        <v>47711.89</v>
      </c>
      <c r="AD850" s="32">
        <v>150000</v>
      </c>
      <c r="AE850" s="32">
        <v>0</v>
      </c>
      <c r="AF850" s="35">
        <v>2021</v>
      </c>
      <c r="AG850" s="35">
        <v>2021</v>
      </c>
      <c r="AH850" s="36">
        <v>2021</v>
      </c>
      <c r="AT850" s="21" t="e">
        <f t="shared" si="353"/>
        <v>#N/A</v>
      </c>
    </row>
    <row r="851" spans="1:46" ht="61.5" x14ac:dyDescent="0.85">
      <c r="A851" s="21">
        <v>1</v>
      </c>
      <c r="B851" s="70">
        <f>SUBTOTAL(103,$A$535:A851)</f>
        <v>278</v>
      </c>
      <c r="C851" s="25" t="s">
        <v>63</v>
      </c>
      <c r="D851" s="32">
        <f t="shared" si="378"/>
        <v>2799929.1599999997</v>
      </c>
      <c r="E851" s="32">
        <v>0</v>
      </c>
      <c r="F851" s="32">
        <v>0</v>
      </c>
      <c r="G851" s="32">
        <v>0</v>
      </c>
      <c r="H851" s="32">
        <v>0</v>
      </c>
      <c r="I851" s="32">
        <v>0</v>
      </c>
      <c r="J851" s="32">
        <v>0</v>
      </c>
      <c r="K851" s="34">
        <v>0</v>
      </c>
      <c r="L851" s="32">
        <v>0</v>
      </c>
      <c r="M851" s="32">
        <v>536.20000000000005</v>
      </c>
      <c r="N851" s="32">
        <v>2610767.65</v>
      </c>
      <c r="O851" s="32">
        <v>0</v>
      </c>
      <c r="P851" s="32">
        <v>0</v>
      </c>
      <c r="Q851" s="32">
        <v>0</v>
      </c>
      <c r="R851" s="32">
        <v>0</v>
      </c>
      <c r="S851" s="32">
        <v>0</v>
      </c>
      <c r="T851" s="32">
        <v>0</v>
      </c>
      <c r="U851" s="32">
        <v>0</v>
      </c>
      <c r="V851" s="32">
        <v>0</v>
      </c>
      <c r="W851" s="32">
        <v>0</v>
      </c>
      <c r="X851" s="32">
        <v>0</v>
      </c>
      <c r="Y851" s="32">
        <v>0</v>
      </c>
      <c r="Z851" s="32">
        <v>0</v>
      </c>
      <c r="AA851" s="32">
        <v>0</v>
      </c>
      <c r="AB851" s="32">
        <v>0</v>
      </c>
      <c r="AC851" s="32">
        <f t="shared" si="379"/>
        <v>39161.51</v>
      </c>
      <c r="AD851" s="32">
        <v>150000</v>
      </c>
      <c r="AE851" s="32">
        <v>0</v>
      </c>
      <c r="AF851" s="35">
        <v>2021</v>
      </c>
      <c r="AG851" s="35">
        <v>2021</v>
      </c>
      <c r="AH851" s="36">
        <v>2021</v>
      </c>
      <c r="AT851" s="21" t="e">
        <f t="shared" si="353"/>
        <v>#N/A</v>
      </c>
    </row>
    <row r="852" spans="1:46" ht="61.5" x14ac:dyDescent="0.85">
      <c r="A852" s="21">
        <v>1</v>
      </c>
      <c r="B852" s="70">
        <f>SUBTOTAL(103,$A$535:A852)</f>
        <v>279</v>
      </c>
      <c r="C852" s="25" t="s">
        <v>59</v>
      </c>
      <c r="D852" s="32">
        <f t="shared" si="378"/>
        <v>3400436.16</v>
      </c>
      <c r="E852" s="32">
        <v>0</v>
      </c>
      <c r="F852" s="32">
        <v>0</v>
      </c>
      <c r="G852" s="32">
        <v>0</v>
      </c>
      <c r="H852" s="32">
        <v>0</v>
      </c>
      <c r="I852" s="32">
        <v>0</v>
      </c>
      <c r="J852" s="32">
        <v>0</v>
      </c>
      <c r="K852" s="34">
        <v>0</v>
      </c>
      <c r="L852" s="32">
        <v>0</v>
      </c>
      <c r="M852" s="32">
        <v>651.20000000000005</v>
      </c>
      <c r="N852" s="32">
        <v>3202400.16</v>
      </c>
      <c r="O852" s="32">
        <v>0</v>
      </c>
      <c r="P852" s="32">
        <v>0</v>
      </c>
      <c r="Q852" s="32">
        <v>0</v>
      </c>
      <c r="R852" s="32">
        <v>0</v>
      </c>
      <c r="S852" s="32">
        <v>0</v>
      </c>
      <c r="T852" s="32">
        <v>0</v>
      </c>
      <c r="U852" s="32">
        <v>0</v>
      </c>
      <c r="V852" s="32">
        <v>0</v>
      </c>
      <c r="W852" s="32">
        <v>0</v>
      </c>
      <c r="X852" s="32">
        <v>0</v>
      </c>
      <c r="Y852" s="32">
        <v>0</v>
      </c>
      <c r="Z852" s="32">
        <v>0</v>
      </c>
      <c r="AA852" s="32">
        <v>0</v>
      </c>
      <c r="AB852" s="32">
        <v>0</v>
      </c>
      <c r="AC852" s="32">
        <f t="shared" si="379"/>
        <v>48036</v>
      </c>
      <c r="AD852" s="32">
        <v>150000</v>
      </c>
      <c r="AE852" s="32">
        <v>0</v>
      </c>
      <c r="AF852" s="35">
        <v>2021</v>
      </c>
      <c r="AG852" s="35">
        <v>2021</v>
      </c>
      <c r="AH852" s="36">
        <v>2021</v>
      </c>
      <c r="AT852" s="21" t="e">
        <f t="shared" ref="AT852:AT869" si="380">VLOOKUP(C852,AW:AX,2,FALSE)</f>
        <v>#N/A</v>
      </c>
    </row>
    <row r="853" spans="1:46" ht="61.5" x14ac:dyDescent="0.85">
      <c r="B853" s="25" t="s">
        <v>899</v>
      </c>
      <c r="C853" s="110"/>
      <c r="D853" s="32">
        <f t="shared" ref="D853:AE853" si="381">D854+D855</f>
        <v>6032850.6600000001</v>
      </c>
      <c r="E853" s="32">
        <f t="shared" si="381"/>
        <v>0</v>
      </c>
      <c r="F853" s="32">
        <f t="shared" si="381"/>
        <v>0</v>
      </c>
      <c r="G853" s="32">
        <f t="shared" si="381"/>
        <v>0</v>
      </c>
      <c r="H853" s="32">
        <f t="shared" si="381"/>
        <v>0</v>
      </c>
      <c r="I853" s="32">
        <f t="shared" si="381"/>
        <v>0</v>
      </c>
      <c r="J853" s="32">
        <f t="shared" si="381"/>
        <v>0</v>
      </c>
      <c r="K853" s="34">
        <f t="shared" si="381"/>
        <v>0</v>
      </c>
      <c r="L853" s="32">
        <f t="shared" si="381"/>
        <v>0</v>
      </c>
      <c r="M853" s="32">
        <f t="shared" si="381"/>
        <v>1203</v>
      </c>
      <c r="N853" s="32">
        <f t="shared" si="381"/>
        <v>5677685.3799999999</v>
      </c>
      <c r="O853" s="32">
        <f t="shared" si="381"/>
        <v>0</v>
      </c>
      <c r="P853" s="32">
        <f t="shared" si="381"/>
        <v>0</v>
      </c>
      <c r="Q853" s="32">
        <f t="shared" si="381"/>
        <v>0</v>
      </c>
      <c r="R853" s="32">
        <f t="shared" si="381"/>
        <v>0</v>
      </c>
      <c r="S853" s="32">
        <f t="shared" si="381"/>
        <v>0</v>
      </c>
      <c r="T853" s="32">
        <f t="shared" si="381"/>
        <v>0</v>
      </c>
      <c r="U853" s="32">
        <f t="shared" si="381"/>
        <v>0</v>
      </c>
      <c r="V853" s="32">
        <f t="shared" si="381"/>
        <v>0</v>
      </c>
      <c r="W853" s="32">
        <f t="shared" si="381"/>
        <v>0</v>
      </c>
      <c r="X853" s="32">
        <f t="shared" si="381"/>
        <v>0</v>
      </c>
      <c r="Y853" s="32">
        <f t="shared" si="381"/>
        <v>0</v>
      </c>
      <c r="Z853" s="32">
        <f t="shared" si="381"/>
        <v>0</v>
      </c>
      <c r="AA853" s="32">
        <f t="shared" si="381"/>
        <v>0</v>
      </c>
      <c r="AB853" s="32">
        <f t="shared" si="381"/>
        <v>0</v>
      </c>
      <c r="AC853" s="32">
        <f t="shared" si="381"/>
        <v>85165.28</v>
      </c>
      <c r="AD853" s="32">
        <f t="shared" si="381"/>
        <v>270000</v>
      </c>
      <c r="AE853" s="32">
        <f t="shared" si="381"/>
        <v>0</v>
      </c>
      <c r="AF853" s="77" t="s">
        <v>801</v>
      </c>
      <c r="AG853" s="77" t="s">
        <v>801</v>
      </c>
      <c r="AH853" s="107" t="s">
        <v>801</v>
      </c>
      <c r="AT853" s="21" t="e">
        <f t="shared" si="380"/>
        <v>#N/A</v>
      </c>
    </row>
    <row r="854" spans="1:46" ht="61.5" x14ac:dyDescent="0.85">
      <c r="A854" s="21">
        <v>1</v>
      </c>
      <c r="B854" s="70">
        <f>SUBTOTAL(103,$A$535:A854)</f>
        <v>280</v>
      </c>
      <c r="C854" s="25" t="s">
        <v>235</v>
      </c>
      <c r="D854" s="32">
        <f t="shared" ref="D854:D855" si="382">E854+F854+G854+H854+I854+J854+L854+N854+P854+R854+T854+U854+V854+W854+X854+Y854+Z854+AA854+AB854+AC854+AD854+AE854</f>
        <v>4231329.66</v>
      </c>
      <c r="E854" s="32">
        <v>0</v>
      </c>
      <c r="F854" s="32">
        <v>0</v>
      </c>
      <c r="G854" s="32">
        <v>0</v>
      </c>
      <c r="H854" s="32">
        <v>0</v>
      </c>
      <c r="I854" s="32">
        <v>0</v>
      </c>
      <c r="J854" s="32">
        <v>0</v>
      </c>
      <c r="K854" s="34">
        <v>0</v>
      </c>
      <c r="L854" s="32">
        <v>0</v>
      </c>
      <c r="M854" s="32">
        <v>858</v>
      </c>
      <c r="N854" s="32">
        <v>4021014.44</v>
      </c>
      <c r="O854" s="32">
        <v>0</v>
      </c>
      <c r="P854" s="32">
        <v>0</v>
      </c>
      <c r="Q854" s="32">
        <v>0</v>
      </c>
      <c r="R854" s="32">
        <v>0</v>
      </c>
      <c r="S854" s="32">
        <v>0</v>
      </c>
      <c r="T854" s="32">
        <v>0</v>
      </c>
      <c r="U854" s="32">
        <v>0</v>
      </c>
      <c r="V854" s="32">
        <v>0</v>
      </c>
      <c r="W854" s="32">
        <v>0</v>
      </c>
      <c r="X854" s="32">
        <v>0</v>
      </c>
      <c r="Y854" s="32">
        <v>0</v>
      </c>
      <c r="Z854" s="32">
        <v>0</v>
      </c>
      <c r="AA854" s="32">
        <v>0</v>
      </c>
      <c r="AB854" s="32">
        <v>0</v>
      </c>
      <c r="AC854" s="32">
        <f t="shared" ref="AC854:AC855" si="383">ROUND(N854*1.5%,2)</f>
        <v>60315.22</v>
      </c>
      <c r="AD854" s="32">
        <v>150000</v>
      </c>
      <c r="AE854" s="32">
        <v>0</v>
      </c>
      <c r="AF854" s="35">
        <v>2021</v>
      </c>
      <c r="AG854" s="35">
        <v>2021</v>
      </c>
      <c r="AH854" s="36">
        <v>2021</v>
      </c>
      <c r="AT854" s="21" t="e">
        <f t="shared" si="380"/>
        <v>#N/A</v>
      </c>
    </row>
    <row r="855" spans="1:46" ht="61.5" x14ac:dyDescent="0.85">
      <c r="A855" s="21">
        <v>1</v>
      </c>
      <c r="B855" s="70">
        <f>SUBTOTAL(103,$A$535:A855)</f>
        <v>281</v>
      </c>
      <c r="C855" s="25" t="s">
        <v>234</v>
      </c>
      <c r="D855" s="32">
        <f t="shared" si="382"/>
        <v>1801521</v>
      </c>
      <c r="E855" s="32">
        <v>0</v>
      </c>
      <c r="F855" s="32">
        <v>0</v>
      </c>
      <c r="G855" s="32">
        <v>0</v>
      </c>
      <c r="H855" s="32">
        <v>0</v>
      </c>
      <c r="I855" s="32">
        <v>0</v>
      </c>
      <c r="J855" s="32">
        <v>0</v>
      </c>
      <c r="K855" s="34">
        <v>0</v>
      </c>
      <c r="L855" s="32">
        <v>0</v>
      </c>
      <c r="M855" s="32">
        <v>345</v>
      </c>
      <c r="N855" s="32">
        <v>1656670.94</v>
      </c>
      <c r="O855" s="32">
        <v>0</v>
      </c>
      <c r="P855" s="32">
        <v>0</v>
      </c>
      <c r="Q855" s="32">
        <v>0</v>
      </c>
      <c r="R855" s="32">
        <v>0</v>
      </c>
      <c r="S855" s="32">
        <v>0</v>
      </c>
      <c r="T855" s="32">
        <v>0</v>
      </c>
      <c r="U855" s="32">
        <v>0</v>
      </c>
      <c r="V855" s="32">
        <v>0</v>
      </c>
      <c r="W855" s="32">
        <v>0</v>
      </c>
      <c r="X855" s="32">
        <v>0</v>
      </c>
      <c r="Y855" s="32">
        <v>0</v>
      </c>
      <c r="Z855" s="32">
        <v>0</v>
      </c>
      <c r="AA855" s="32">
        <v>0</v>
      </c>
      <c r="AB855" s="32">
        <v>0</v>
      </c>
      <c r="AC855" s="32">
        <f t="shared" si="383"/>
        <v>24850.06</v>
      </c>
      <c r="AD855" s="32">
        <v>120000</v>
      </c>
      <c r="AE855" s="32">
        <v>0</v>
      </c>
      <c r="AF855" s="35">
        <v>2021</v>
      </c>
      <c r="AG855" s="35">
        <v>2021</v>
      </c>
      <c r="AH855" s="36">
        <v>2021</v>
      </c>
      <c r="AT855" s="21" t="e">
        <f t="shared" si="380"/>
        <v>#N/A</v>
      </c>
    </row>
    <row r="856" spans="1:46" ht="61.5" x14ac:dyDescent="0.85">
      <c r="B856" s="25" t="s">
        <v>901</v>
      </c>
      <c r="C856" s="110"/>
      <c r="D856" s="32">
        <f t="shared" ref="D856:AE856" si="384">D857</f>
        <v>1799918.22</v>
      </c>
      <c r="E856" s="32">
        <f t="shared" si="384"/>
        <v>0</v>
      </c>
      <c r="F856" s="32">
        <f t="shared" si="384"/>
        <v>0</v>
      </c>
      <c r="G856" s="32">
        <f t="shared" si="384"/>
        <v>0</v>
      </c>
      <c r="H856" s="32">
        <f t="shared" si="384"/>
        <v>0</v>
      </c>
      <c r="I856" s="32">
        <f t="shared" si="384"/>
        <v>367412.22</v>
      </c>
      <c r="J856" s="32">
        <f t="shared" si="384"/>
        <v>0</v>
      </c>
      <c r="K856" s="34">
        <f t="shared" si="384"/>
        <v>0</v>
      </c>
      <c r="L856" s="32">
        <f t="shared" si="384"/>
        <v>0</v>
      </c>
      <c r="M856" s="32">
        <f t="shared" si="384"/>
        <v>300</v>
      </c>
      <c r="N856" s="32">
        <f t="shared" si="384"/>
        <v>1287679.6200000001</v>
      </c>
      <c r="O856" s="32">
        <f t="shared" si="384"/>
        <v>0</v>
      </c>
      <c r="P856" s="32">
        <f t="shared" si="384"/>
        <v>0</v>
      </c>
      <c r="Q856" s="32">
        <f t="shared" si="384"/>
        <v>0</v>
      </c>
      <c r="R856" s="32">
        <f t="shared" si="384"/>
        <v>0</v>
      </c>
      <c r="S856" s="32">
        <f t="shared" si="384"/>
        <v>0</v>
      </c>
      <c r="T856" s="32">
        <f t="shared" si="384"/>
        <v>0</v>
      </c>
      <c r="U856" s="32">
        <f t="shared" si="384"/>
        <v>0</v>
      </c>
      <c r="V856" s="32">
        <f t="shared" si="384"/>
        <v>0</v>
      </c>
      <c r="W856" s="32">
        <f t="shared" si="384"/>
        <v>0</v>
      </c>
      <c r="X856" s="32">
        <f t="shared" si="384"/>
        <v>0</v>
      </c>
      <c r="Y856" s="32">
        <f t="shared" si="384"/>
        <v>0</v>
      </c>
      <c r="Z856" s="32">
        <f t="shared" si="384"/>
        <v>0</v>
      </c>
      <c r="AA856" s="32">
        <f t="shared" si="384"/>
        <v>0</v>
      </c>
      <c r="AB856" s="32">
        <f t="shared" si="384"/>
        <v>0</v>
      </c>
      <c r="AC856" s="32">
        <f t="shared" si="384"/>
        <v>24826.38</v>
      </c>
      <c r="AD856" s="32">
        <f t="shared" si="384"/>
        <v>120000</v>
      </c>
      <c r="AE856" s="32">
        <f t="shared" si="384"/>
        <v>0</v>
      </c>
      <c r="AF856" s="77" t="s">
        <v>801</v>
      </c>
      <c r="AG856" s="77" t="s">
        <v>801</v>
      </c>
      <c r="AH856" s="107" t="s">
        <v>801</v>
      </c>
      <c r="AT856" s="21" t="e">
        <f t="shared" si="380"/>
        <v>#N/A</v>
      </c>
    </row>
    <row r="857" spans="1:46" ht="61.5" x14ac:dyDescent="0.85">
      <c r="A857" s="21">
        <v>1</v>
      </c>
      <c r="B857" s="70">
        <f>SUBTOTAL(103,$A$535:A857)</f>
        <v>282</v>
      </c>
      <c r="C857" s="25" t="s">
        <v>152</v>
      </c>
      <c r="D857" s="32">
        <f t="shared" ref="D857" si="385">E857+F857+G857+H857+I857+J857+L857+N857+P857+R857+T857+U857+V857+W857+X857+Y857+Z857+AA857+AB857+AC857+AD857+AE857</f>
        <v>1799918.22</v>
      </c>
      <c r="E857" s="32">
        <v>0</v>
      </c>
      <c r="F857" s="32">
        <v>0</v>
      </c>
      <c r="G857" s="32">
        <v>0</v>
      </c>
      <c r="H857" s="32">
        <v>0</v>
      </c>
      <c r="I857" s="32">
        <v>367412.22</v>
      </c>
      <c r="J857" s="32">
        <v>0</v>
      </c>
      <c r="K857" s="34">
        <v>0</v>
      </c>
      <c r="L857" s="32">
        <v>0</v>
      </c>
      <c r="M857" s="32">
        <v>300</v>
      </c>
      <c r="N857" s="32">
        <v>1287679.6200000001</v>
      </c>
      <c r="O857" s="32">
        <v>0</v>
      </c>
      <c r="P857" s="32">
        <v>0</v>
      </c>
      <c r="Q857" s="32">
        <v>0</v>
      </c>
      <c r="R857" s="32">
        <v>0</v>
      </c>
      <c r="S857" s="32">
        <v>0</v>
      </c>
      <c r="T857" s="32">
        <v>0</v>
      </c>
      <c r="U857" s="32">
        <v>0</v>
      </c>
      <c r="V857" s="32">
        <v>0</v>
      </c>
      <c r="W857" s="32">
        <v>0</v>
      </c>
      <c r="X857" s="32">
        <v>0</v>
      </c>
      <c r="Y857" s="32">
        <v>0</v>
      </c>
      <c r="Z857" s="32">
        <v>0</v>
      </c>
      <c r="AA857" s="32">
        <v>0</v>
      </c>
      <c r="AB857" s="32">
        <v>0</v>
      </c>
      <c r="AC857" s="32">
        <f>ROUND((N857+I857)*1.5%,2)</f>
        <v>24826.38</v>
      </c>
      <c r="AD857" s="32">
        <v>120000</v>
      </c>
      <c r="AE857" s="32">
        <v>0</v>
      </c>
      <c r="AF857" s="35">
        <v>2021</v>
      </c>
      <c r="AG857" s="35">
        <v>2021</v>
      </c>
      <c r="AH857" s="36">
        <v>2021</v>
      </c>
      <c r="AT857" s="21" t="e">
        <f t="shared" si="380"/>
        <v>#N/A</v>
      </c>
    </row>
    <row r="858" spans="1:46" ht="61.5" x14ac:dyDescent="0.85">
      <c r="B858" s="25" t="s">
        <v>929</v>
      </c>
      <c r="C858" s="25"/>
      <c r="D858" s="32">
        <f t="shared" ref="D858:AE858" si="386">D859</f>
        <v>3974620.0799999996</v>
      </c>
      <c r="E858" s="32">
        <f t="shared" si="386"/>
        <v>0</v>
      </c>
      <c r="F858" s="32">
        <f t="shared" si="386"/>
        <v>0</v>
      </c>
      <c r="G858" s="32">
        <f t="shared" si="386"/>
        <v>0</v>
      </c>
      <c r="H858" s="32">
        <f t="shared" si="386"/>
        <v>0</v>
      </c>
      <c r="I858" s="32">
        <f t="shared" si="386"/>
        <v>0</v>
      </c>
      <c r="J858" s="32">
        <f t="shared" si="386"/>
        <v>0</v>
      </c>
      <c r="K858" s="34">
        <f t="shared" si="386"/>
        <v>0</v>
      </c>
      <c r="L858" s="32">
        <f t="shared" si="386"/>
        <v>0</v>
      </c>
      <c r="M858" s="32">
        <f t="shared" si="386"/>
        <v>660.00388180300001</v>
      </c>
      <c r="N858" s="32">
        <f t="shared" si="386"/>
        <v>3768098.5999999996</v>
      </c>
      <c r="O858" s="32">
        <f t="shared" si="386"/>
        <v>0</v>
      </c>
      <c r="P858" s="32">
        <f t="shared" si="386"/>
        <v>0</v>
      </c>
      <c r="Q858" s="32">
        <f t="shared" si="386"/>
        <v>0</v>
      </c>
      <c r="R858" s="32">
        <f t="shared" si="386"/>
        <v>0</v>
      </c>
      <c r="S858" s="32">
        <f t="shared" si="386"/>
        <v>0</v>
      </c>
      <c r="T858" s="32">
        <f t="shared" si="386"/>
        <v>0</v>
      </c>
      <c r="U858" s="32">
        <f t="shared" si="386"/>
        <v>0</v>
      </c>
      <c r="V858" s="32">
        <f t="shared" si="386"/>
        <v>0</v>
      </c>
      <c r="W858" s="32">
        <f t="shared" si="386"/>
        <v>0</v>
      </c>
      <c r="X858" s="32">
        <f t="shared" si="386"/>
        <v>0</v>
      </c>
      <c r="Y858" s="32">
        <f t="shared" si="386"/>
        <v>0</v>
      </c>
      <c r="Z858" s="32">
        <f t="shared" si="386"/>
        <v>0</v>
      </c>
      <c r="AA858" s="32">
        <f t="shared" si="386"/>
        <v>0</v>
      </c>
      <c r="AB858" s="32">
        <f t="shared" si="386"/>
        <v>0</v>
      </c>
      <c r="AC858" s="32">
        <f t="shared" si="386"/>
        <v>56521.48</v>
      </c>
      <c r="AD858" s="32">
        <f t="shared" si="386"/>
        <v>150000</v>
      </c>
      <c r="AE858" s="32">
        <f t="shared" si="386"/>
        <v>0</v>
      </c>
      <c r="AF858" s="77" t="s">
        <v>801</v>
      </c>
      <c r="AG858" s="77" t="s">
        <v>801</v>
      </c>
      <c r="AH858" s="107" t="s">
        <v>801</v>
      </c>
      <c r="AT858" s="21" t="e">
        <f t="shared" si="380"/>
        <v>#N/A</v>
      </c>
    </row>
    <row r="859" spans="1:46" ht="61.5" x14ac:dyDescent="0.85">
      <c r="A859" s="21">
        <v>1</v>
      </c>
      <c r="B859" s="70">
        <f>SUBTOTAL(103,$A$535:A859)</f>
        <v>283</v>
      </c>
      <c r="C859" s="25" t="s">
        <v>153</v>
      </c>
      <c r="D859" s="32">
        <f t="shared" ref="D859" si="387">E859+F859+G859+H859+I859+J859+L859+N859+P859+R859+T859+U859+V859+W859+X859+Y859+Z859+AA859+AB859+AC859+AD859+AE859</f>
        <v>3974620.0799999996</v>
      </c>
      <c r="E859" s="32">
        <v>0</v>
      </c>
      <c r="F859" s="32">
        <v>0</v>
      </c>
      <c r="G859" s="32">
        <v>0</v>
      </c>
      <c r="H859" s="32">
        <v>0</v>
      </c>
      <c r="I859" s="32">
        <v>0</v>
      </c>
      <c r="J859" s="32">
        <v>0</v>
      </c>
      <c r="K859" s="34">
        <v>0</v>
      </c>
      <c r="L859" s="32">
        <v>0</v>
      </c>
      <c r="M859" s="32">
        <v>660.00388180300001</v>
      </c>
      <c r="N859" s="32">
        <f>3247692.88+520405.72</f>
        <v>3768098.5999999996</v>
      </c>
      <c r="O859" s="32">
        <v>0</v>
      </c>
      <c r="P859" s="32">
        <v>0</v>
      </c>
      <c r="Q859" s="32">
        <v>0</v>
      </c>
      <c r="R859" s="32">
        <v>0</v>
      </c>
      <c r="S859" s="32">
        <v>0</v>
      </c>
      <c r="T859" s="32">
        <v>0</v>
      </c>
      <c r="U859" s="32">
        <v>0</v>
      </c>
      <c r="V859" s="32">
        <v>0</v>
      </c>
      <c r="W859" s="32">
        <v>0</v>
      </c>
      <c r="X859" s="32">
        <v>0</v>
      </c>
      <c r="Y859" s="32">
        <v>0</v>
      </c>
      <c r="Z859" s="32">
        <v>0</v>
      </c>
      <c r="AA859" s="32">
        <v>0</v>
      </c>
      <c r="AB859" s="32">
        <v>0</v>
      </c>
      <c r="AC859" s="32">
        <f>ROUND(N859*1.5%,2)</f>
        <v>56521.48</v>
      </c>
      <c r="AD859" s="32">
        <v>150000</v>
      </c>
      <c r="AE859" s="32">
        <v>0</v>
      </c>
      <c r="AF859" s="35">
        <v>2021</v>
      </c>
      <c r="AG859" s="35">
        <v>2021</v>
      </c>
      <c r="AH859" s="36">
        <v>2021</v>
      </c>
      <c r="AT859" s="21" t="e">
        <f t="shared" si="380"/>
        <v>#N/A</v>
      </c>
    </row>
    <row r="860" spans="1:46" ht="61.5" x14ac:dyDescent="0.85">
      <c r="B860" s="25" t="s">
        <v>930</v>
      </c>
      <c r="C860" s="25"/>
      <c r="D860" s="32">
        <f t="shared" ref="D860:AE860" si="388">D861</f>
        <v>2957808</v>
      </c>
      <c r="E860" s="32">
        <f t="shared" si="388"/>
        <v>0</v>
      </c>
      <c r="F860" s="32">
        <f t="shared" si="388"/>
        <v>0</v>
      </c>
      <c r="G860" s="32">
        <f t="shared" si="388"/>
        <v>0</v>
      </c>
      <c r="H860" s="32">
        <f t="shared" si="388"/>
        <v>0</v>
      </c>
      <c r="I860" s="32">
        <f t="shared" si="388"/>
        <v>0</v>
      </c>
      <c r="J860" s="32">
        <f t="shared" si="388"/>
        <v>0</v>
      </c>
      <c r="K860" s="34">
        <f t="shared" si="388"/>
        <v>0</v>
      </c>
      <c r="L860" s="32">
        <f t="shared" si="388"/>
        <v>0</v>
      </c>
      <c r="M860" s="32">
        <f t="shared" si="388"/>
        <v>600</v>
      </c>
      <c r="N860" s="32">
        <f t="shared" si="388"/>
        <v>2766313.3</v>
      </c>
      <c r="O860" s="32">
        <f t="shared" si="388"/>
        <v>0</v>
      </c>
      <c r="P860" s="32">
        <f t="shared" si="388"/>
        <v>0</v>
      </c>
      <c r="Q860" s="32">
        <f t="shared" si="388"/>
        <v>0</v>
      </c>
      <c r="R860" s="32">
        <f t="shared" si="388"/>
        <v>0</v>
      </c>
      <c r="S860" s="32">
        <f t="shared" si="388"/>
        <v>0</v>
      </c>
      <c r="T860" s="32">
        <f t="shared" si="388"/>
        <v>0</v>
      </c>
      <c r="U860" s="32">
        <f t="shared" si="388"/>
        <v>0</v>
      </c>
      <c r="V860" s="32">
        <f t="shared" si="388"/>
        <v>0</v>
      </c>
      <c r="W860" s="32">
        <f t="shared" si="388"/>
        <v>0</v>
      </c>
      <c r="X860" s="32">
        <f t="shared" si="388"/>
        <v>0</v>
      </c>
      <c r="Y860" s="32">
        <f t="shared" si="388"/>
        <v>0</v>
      </c>
      <c r="Z860" s="32">
        <f t="shared" si="388"/>
        <v>0</v>
      </c>
      <c r="AA860" s="32">
        <f t="shared" si="388"/>
        <v>0</v>
      </c>
      <c r="AB860" s="32">
        <f t="shared" si="388"/>
        <v>0</v>
      </c>
      <c r="AC860" s="32">
        <f t="shared" si="388"/>
        <v>41494.699999999997</v>
      </c>
      <c r="AD860" s="32">
        <f t="shared" si="388"/>
        <v>150000</v>
      </c>
      <c r="AE860" s="32">
        <f t="shared" si="388"/>
        <v>0</v>
      </c>
      <c r="AF860" s="77" t="s">
        <v>801</v>
      </c>
      <c r="AG860" s="77" t="s">
        <v>801</v>
      </c>
      <c r="AH860" s="107" t="s">
        <v>801</v>
      </c>
      <c r="AT860" s="21" t="e">
        <f t="shared" si="380"/>
        <v>#N/A</v>
      </c>
    </row>
    <row r="861" spans="1:46" ht="61.5" x14ac:dyDescent="0.85">
      <c r="A861" s="21">
        <v>1</v>
      </c>
      <c r="B861" s="70">
        <f>SUBTOTAL(103,$A$535:A861)</f>
        <v>284</v>
      </c>
      <c r="C861" s="25" t="s">
        <v>158</v>
      </c>
      <c r="D861" s="32">
        <f t="shared" ref="D861" si="389">E861+F861+G861+H861+I861+J861+L861+N861+P861+R861+T861+U861+V861+W861+X861+Y861+Z861+AA861+AB861+AC861+AD861+AE861</f>
        <v>2957808</v>
      </c>
      <c r="E861" s="32">
        <v>0</v>
      </c>
      <c r="F861" s="32">
        <v>0</v>
      </c>
      <c r="G861" s="32">
        <v>0</v>
      </c>
      <c r="H861" s="32">
        <v>0</v>
      </c>
      <c r="I861" s="32">
        <v>0</v>
      </c>
      <c r="J861" s="32">
        <v>0</v>
      </c>
      <c r="K861" s="34">
        <v>0</v>
      </c>
      <c r="L861" s="32">
        <v>0</v>
      </c>
      <c r="M861" s="32">
        <v>600</v>
      </c>
      <c r="N861" s="32">
        <v>2766313.3</v>
      </c>
      <c r="O861" s="32">
        <v>0</v>
      </c>
      <c r="P861" s="32">
        <v>0</v>
      </c>
      <c r="Q861" s="32">
        <v>0</v>
      </c>
      <c r="R861" s="32">
        <v>0</v>
      </c>
      <c r="S861" s="32">
        <v>0</v>
      </c>
      <c r="T861" s="32">
        <v>0</v>
      </c>
      <c r="U861" s="32">
        <v>0</v>
      </c>
      <c r="V861" s="32">
        <v>0</v>
      </c>
      <c r="W861" s="32">
        <v>0</v>
      </c>
      <c r="X861" s="32">
        <v>0</v>
      </c>
      <c r="Y861" s="32">
        <v>0</v>
      </c>
      <c r="Z861" s="32">
        <v>0</v>
      </c>
      <c r="AA861" s="32">
        <v>0</v>
      </c>
      <c r="AB861" s="32">
        <v>0</v>
      </c>
      <c r="AC861" s="32">
        <f>ROUND(N861*1.5%,2)</f>
        <v>41494.699999999997</v>
      </c>
      <c r="AD861" s="32">
        <v>150000</v>
      </c>
      <c r="AE861" s="32">
        <v>0</v>
      </c>
      <c r="AF861" s="35">
        <v>2021</v>
      </c>
      <c r="AG861" s="35">
        <v>2021</v>
      </c>
      <c r="AH861" s="36">
        <v>2021</v>
      </c>
      <c r="AT861" s="21" t="e">
        <f t="shared" si="380"/>
        <v>#N/A</v>
      </c>
    </row>
    <row r="862" spans="1:46" ht="61.5" x14ac:dyDescent="0.85">
      <c r="B862" s="25" t="s">
        <v>903</v>
      </c>
      <c r="C862" s="25"/>
      <c r="D862" s="32">
        <f t="shared" ref="D862:AE862" si="390">D863</f>
        <v>4651054.3499999996</v>
      </c>
      <c r="E862" s="32">
        <f t="shared" si="390"/>
        <v>0</v>
      </c>
      <c r="F862" s="32">
        <f t="shared" si="390"/>
        <v>0</v>
      </c>
      <c r="G862" s="32">
        <f t="shared" si="390"/>
        <v>0</v>
      </c>
      <c r="H862" s="32">
        <f t="shared" si="390"/>
        <v>0</v>
      </c>
      <c r="I862" s="32">
        <f t="shared" si="390"/>
        <v>0</v>
      </c>
      <c r="J862" s="32">
        <f t="shared" si="390"/>
        <v>0</v>
      </c>
      <c r="K862" s="34">
        <f t="shared" si="390"/>
        <v>0</v>
      </c>
      <c r="L862" s="32">
        <f t="shared" si="390"/>
        <v>0</v>
      </c>
      <c r="M862" s="32">
        <f t="shared" si="390"/>
        <v>785</v>
      </c>
      <c r="N862" s="32">
        <f t="shared" si="390"/>
        <v>4434536.3099999996</v>
      </c>
      <c r="O862" s="32">
        <f t="shared" si="390"/>
        <v>0</v>
      </c>
      <c r="P862" s="32">
        <f t="shared" si="390"/>
        <v>0</v>
      </c>
      <c r="Q862" s="32">
        <f t="shared" si="390"/>
        <v>0</v>
      </c>
      <c r="R862" s="32">
        <f t="shared" si="390"/>
        <v>0</v>
      </c>
      <c r="S862" s="32">
        <f t="shared" si="390"/>
        <v>0</v>
      </c>
      <c r="T862" s="32">
        <f t="shared" si="390"/>
        <v>0</v>
      </c>
      <c r="U862" s="32">
        <f t="shared" si="390"/>
        <v>0</v>
      </c>
      <c r="V862" s="32">
        <f t="shared" si="390"/>
        <v>0</v>
      </c>
      <c r="W862" s="32">
        <f t="shared" si="390"/>
        <v>0</v>
      </c>
      <c r="X862" s="32">
        <f t="shared" si="390"/>
        <v>0</v>
      </c>
      <c r="Y862" s="32">
        <f t="shared" si="390"/>
        <v>0</v>
      </c>
      <c r="Z862" s="32">
        <f t="shared" si="390"/>
        <v>0</v>
      </c>
      <c r="AA862" s="32">
        <f t="shared" si="390"/>
        <v>0</v>
      </c>
      <c r="AB862" s="32">
        <f t="shared" si="390"/>
        <v>0</v>
      </c>
      <c r="AC862" s="32">
        <f t="shared" si="390"/>
        <v>66518.039999999994</v>
      </c>
      <c r="AD862" s="32">
        <f t="shared" si="390"/>
        <v>150000</v>
      </c>
      <c r="AE862" s="32">
        <f t="shared" si="390"/>
        <v>0</v>
      </c>
      <c r="AF862" s="77" t="s">
        <v>801</v>
      </c>
      <c r="AG862" s="77" t="s">
        <v>801</v>
      </c>
      <c r="AH862" s="107" t="s">
        <v>801</v>
      </c>
      <c r="AT862" s="21" t="e">
        <f t="shared" si="380"/>
        <v>#N/A</v>
      </c>
    </row>
    <row r="863" spans="1:46" ht="61.5" x14ac:dyDescent="0.85">
      <c r="A863" s="21">
        <v>1</v>
      </c>
      <c r="B863" s="70">
        <f>SUBTOTAL(103,$A$535:A863)</f>
        <v>285</v>
      </c>
      <c r="C863" s="25" t="s">
        <v>157</v>
      </c>
      <c r="D863" s="32">
        <f t="shared" ref="D863" si="391">E863+F863+G863+H863+I863+J863+L863+N863+P863+R863+T863+U863+V863+W863+X863+Y863+Z863+AA863+AB863+AC863+AD863+AE863</f>
        <v>4651054.3499999996</v>
      </c>
      <c r="E863" s="32">
        <v>0</v>
      </c>
      <c r="F863" s="32">
        <v>0</v>
      </c>
      <c r="G863" s="32">
        <v>0</v>
      </c>
      <c r="H863" s="32">
        <v>0</v>
      </c>
      <c r="I863" s="32">
        <v>0</v>
      </c>
      <c r="J863" s="32">
        <v>0</v>
      </c>
      <c r="K863" s="34">
        <v>0</v>
      </c>
      <c r="L863" s="32">
        <v>0</v>
      </c>
      <c r="M863" s="32">
        <v>785</v>
      </c>
      <c r="N863" s="32">
        <v>4434536.3099999996</v>
      </c>
      <c r="O863" s="32">
        <v>0</v>
      </c>
      <c r="P863" s="32">
        <v>0</v>
      </c>
      <c r="Q863" s="32">
        <v>0</v>
      </c>
      <c r="R863" s="32">
        <v>0</v>
      </c>
      <c r="S863" s="32">
        <v>0</v>
      </c>
      <c r="T863" s="32">
        <v>0</v>
      </c>
      <c r="U863" s="32">
        <v>0</v>
      </c>
      <c r="V863" s="32">
        <v>0</v>
      </c>
      <c r="W863" s="32">
        <v>0</v>
      </c>
      <c r="X863" s="32">
        <v>0</v>
      </c>
      <c r="Y863" s="32">
        <v>0</v>
      </c>
      <c r="Z863" s="32">
        <v>0</v>
      </c>
      <c r="AA863" s="32">
        <v>0</v>
      </c>
      <c r="AB863" s="32">
        <v>0</v>
      </c>
      <c r="AC863" s="32">
        <f>ROUND(N863*1.5%,2)</f>
        <v>66518.039999999994</v>
      </c>
      <c r="AD863" s="32">
        <v>150000</v>
      </c>
      <c r="AE863" s="32">
        <v>0</v>
      </c>
      <c r="AF863" s="35">
        <v>2021</v>
      </c>
      <c r="AG863" s="35">
        <v>2021</v>
      </c>
      <c r="AH863" s="36">
        <v>2021</v>
      </c>
      <c r="AT863" s="21" t="e">
        <f t="shared" si="380"/>
        <v>#N/A</v>
      </c>
    </row>
    <row r="864" spans="1:46" ht="61.5" x14ac:dyDescent="0.85">
      <c r="B864" s="25" t="s">
        <v>904</v>
      </c>
      <c r="C864" s="25"/>
      <c r="D864" s="32">
        <f t="shared" ref="D864:AE864" si="392">D865+D866+D867</f>
        <v>15298671.6</v>
      </c>
      <c r="E864" s="32">
        <f t="shared" si="392"/>
        <v>0</v>
      </c>
      <c r="F864" s="32">
        <f t="shared" si="392"/>
        <v>0</v>
      </c>
      <c r="G864" s="32">
        <f t="shared" si="392"/>
        <v>0</v>
      </c>
      <c r="H864" s="32">
        <f t="shared" si="392"/>
        <v>0</v>
      </c>
      <c r="I864" s="32">
        <f t="shared" si="392"/>
        <v>0</v>
      </c>
      <c r="J864" s="32">
        <f t="shared" si="392"/>
        <v>0</v>
      </c>
      <c r="K864" s="34">
        <f t="shared" si="392"/>
        <v>0</v>
      </c>
      <c r="L864" s="32">
        <f t="shared" si="392"/>
        <v>0</v>
      </c>
      <c r="M864" s="32">
        <f t="shared" si="392"/>
        <v>2571.9749999999999</v>
      </c>
      <c r="N864" s="32">
        <f t="shared" si="392"/>
        <v>14599676.449999999</v>
      </c>
      <c r="O864" s="32">
        <f t="shared" si="392"/>
        <v>0</v>
      </c>
      <c r="P864" s="32">
        <f t="shared" si="392"/>
        <v>0</v>
      </c>
      <c r="Q864" s="32">
        <f t="shared" si="392"/>
        <v>0</v>
      </c>
      <c r="R864" s="32">
        <f t="shared" si="392"/>
        <v>0</v>
      </c>
      <c r="S864" s="32">
        <f t="shared" si="392"/>
        <v>0</v>
      </c>
      <c r="T864" s="32">
        <f t="shared" si="392"/>
        <v>0</v>
      </c>
      <c r="U864" s="32">
        <f t="shared" si="392"/>
        <v>0</v>
      </c>
      <c r="V864" s="32">
        <f t="shared" si="392"/>
        <v>0</v>
      </c>
      <c r="W864" s="32">
        <f t="shared" si="392"/>
        <v>0</v>
      </c>
      <c r="X864" s="32">
        <f t="shared" si="392"/>
        <v>0</v>
      </c>
      <c r="Y864" s="32">
        <f t="shared" si="392"/>
        <v>0</v>
      </c>
      <c r="Z864" s="32">
        <f t="shared" si="392"/>
        <v>0</v>
      </c>
      <c r="AA864" s="32">
        <f t="shared" si="392"/>
        <v>0</v>
      </c>
      <c r="AB864" s="32">
        <f t="shared" si="392"/>
        <v>0</v>
      </c>
      <c r="AC864" s="32">
        <f t="shared" si="392"/>
        <v>218995.15000000002</v>
      </c>
      <c r="AD864" s="32">
        <f t="shared" si="392"/>
        <v>480000</v>
      </c>
      <c r="AE864" s="32">
        <f t="shared" si="392"/>
        <v>0</v>
      </c>
      <c r="AF864" s="77" t="s">
        <v>801</v>
      </c>
      <c r="AG864" s="77" t="s">
        <v>801</v>
      </c>
      <c r="AH864" s="107" t="s">
        <v>801</v>
      </c>
      <c r="AT864" s="21" t="e">
        <f t="shared" si="380"/>
        <v>#N/A</v>
      </c>
    </row>
    <row r="865" spans="1:46" ht="61.5" x14ac:dyDescent="0.85">
      <c r="A865" s="21">
        <v>1</v>
      </c>
      <c r="B865" s="70">
        <f>SUBTOTAL(103,$A$535:A865)</f>
        <v>286</v>
      </c>
      <c r="C865" s="25" t="s">
        <v>154</v>
      </c>
      <c r="D865" s="32">
        <f t="shared" ref="D865:D867" si="393">E865+F865+G865+H865+I865+J865+L865+N865+P865+R865+T865+U865+V865+W865+X865+Y865+Z865+AA865+AB865+AC865+AD865+AE865</f>
        <v>5244797.5</v>
      </c>
      <c r="E865" s="32">
        <v>0</v>
      </c>
      <c r="F865" s="32">
        <v>0</v>
      </c>
      <c r="G865" s="32">
        <v>0</v>
      </c>
      <c r="H865" s="32">
        <v>0</v>
      </c>
      <c r="I865" s="32">
        <v>0</v>
      </c>
      <c r="J865" s="32">
        <v>0</v>
      </c>
      <c r="K865" s="34">
        <v>0</v>
      </c>
      <c r="L865" s="32">
        <v>0</v>
      </c>
      <c r="M865" s="32">
        <v>850</v>
      </c>
      <c r="N865" s="32">
        <v>5019504.93</v>
      </c>
      <c r="O865" s="32">
        <v>0</v>
      </c>
      <c r="P865" s="32">
        <v>0</v>
      </c>
      <c r="Q865" s="32">
        <v>0</v>
      </c>
      <c r="R865" s="32">
        <v>0</v>
      </c>
      <c r="S865" s="32">
        <v>0</v>
      </c>
      <c r="T865" s="32">
        <v>0</v>
      </c>
      <c r="U865" s="32">
        <v>0</v>
      </c>
      <c r="V865" s="32">
        <v>0</v>
      </c>
      <c r="W865" s="32">
        <v>0</v>
      </c>
      <c r="X865" s="32">
        <v>0</v>
      </c>
      <c r="Y865" s="32">
        <v>0</v>
      </c>
      <c r="Z865" s="32">
        <v>0</v>
      </c>
      <c r="AA865" s="32">
        <v>0</v>
      </c>
      <c r="AB865" s="32">
        <v>0</v>
      </c>
      <c r="AC865" s="32">
        <f t="shared" ref="AC865:AC867" si="394">ROUND(N865*1.5%,2)</f>
        <v>75292.570000000007</v>
      </c>
      <c r="AD865" s="32">
        <v>150000</v>
      </c>
      <c r="AE865" s="32">
        <v>0</v>
      </c>
      <c r="AF865" s="35">
        <v>2021</v>
      </c>
      <c r="AG865" s="35">
        <v>2021</v>
      </c>
      <c r="AH865" s="36">
        <v>2021</v>
      </c>
      <c r="AT865" s="21" t="e">
        <f t="shared" si="380"/>
        <v>#N/A</v>
      </c>
    </row>
    <row r="866" spans="1:46" ht="61.5" x14ac:dyDescent="0.85">
      <c r="A866" s="21">
        <v>1</v>
      </c>
      <c r="B866" s="70">
        <f>SUBTOTAL(103,$A$535:A866)</f>
        <v>287</v>
      </c>
      <c r="C866" s="25" t="s">
        <v>155</v>
      </c>
      <c r="D866" s="32">
        <f t="shared" si="393"/>
        <v>6908757.5199999996</v>
      </c>
      <c r="E866" s="32">
        <v>0</v>
      </c>
      <c r="F866" s="32">
        <v>0</v>
      </c>
      <c r="G866" s="32">
        <v>0</v>
      </c>
      <c r="H866" s="32">
        <v>0</v>
      </c>
      <c r="I866" s="32">
        <v>0</v>
      </c>
      <c r="J866" s="32">
        <v>0</v>
      </c>
      <c r="K866" s="34">
        <v>0</v>
      </c>
      <c r="L866" s="32">
        <v>0</v>
      </c>
      <c r="M866" s="32">
        <v>1119.67</v>
      </c>
      <c r="N866" s="32">
        <v>6629317.75</v>
      </c>
      <c r="O866" s="32">
        <v>0</v>
      </c>
      <c r="P866" s="32">
        <v>0</v>
      </c>
      <c r="Q866" s="32">
        <v>0</v>
      </c>
      <c r="R866" s="32">
        <v>0</v>
      </c>
      <c r="S866" s="32">
        <v>0</v>
      </c>
      <c r="T866" s="32">
        <v>0</v>
      </c>
      <c r="U866" s="32">
        <v>0</v>
      </c>
      <c r="V866" s="32">
        <v>0</v>
      </c>
      <c r="W866" s="32">
        <v>0</v>
      </c>
      <c r="X866" s="32">
        <v>0</v>
      </c>
      <c r="Y866" s="32">
        <v>0</v>
      </c>
      <c r="Z866" s="32">
        <v>0</v>
      </c>
      <c r="AA866" s="32">
        <v>0</v>
      </c>
      <c r="AB866" s="32">
        <v>0</v>
      </c>
      <c r="AC866" s="32">
        <f t="shared" si="394"/>
        <v>99439.77</v>
      </c>
      <c r="AD866" s="32">
        <v>180000</v>
      </c>
      <c r="AE866" s="32">
        <v>0</v>
      </c>
      <c r="AF866" s="35">
        <v>2021</v>
      </c>
      <c r="AG866" s="35">
        <v>2021</v>
      </c>
      <c r="AH866" s="36">
        <v>2021</v>
      </c>
      <c r="AT866" s="21" t="e">
        <f t="shared" si="380"/>
        <v>#N/A</v>
      </c>
    </row>
    <row r="867" spans="1:46" ht="61.5" x14ac:dyDescent="0.85">
      <c r="A867" s="21">
        <v>1</v>
      </c>
      <c r="B867" s="70">
        <f>SUBTOTAL(103,$A$535:A867)</f>
        <v>288</v>
      </c>
      <c r="C867" s="25" t="s">
        <v>156</v>
      </c>
      <c r="D867" s="32">
        <f t="shared" si="393"/>
        <v>3145116.58</v>
      </c>
      <c r="E867" s="32">
        <v>0</v>
      </c>
      <c r="F867" s="32">
        <v>0</v>
      </c>
      <c r="G867" s="32">
        <v>0</v>
      </c>
      <c r="H867" s="32">
        <v>0</v>
      </c>
      <c r="I867" s="32">
        <v>0</v>
      </c>
      <c r="J867" s="32">
        <v>0</v>
      </c>
      <c r="K867" s="34">
        <v>0</v>
      </c>
      <c r="L867" s="32">
        <v>0</v>
      </c>
      <c r="M867" s="32">
        <v>602.30499999999995</v>
      </c>
      <c r="N867" s="32">
        <v>2950853.77</v>
      </c>
      <c r="O867" s="32">
        <v>0</v>
      </c>
      <c r="P867" s="32">
        <v>0</v>
      </c>
      <c r="Q867" s="32">
        <v>0</v>
      </c>
      <c r="R867" s="32">
        <v>0</v>
      </c>
      <c r="S867" s="32">
        <v>0</v>
      </c>
      <c r="T867" s="32">
        <v>0</v>
      </c>
      <c r="U867" s="32">
        <v>0</v>
      </c>
      <c r="V867" s="32">
        <v>0</v>
      </c>
      <c r="W867" s="32">
        <v>0</v>
      </c>
      <c r="X867" s="32">
        <v>0</v>
      </c>
      <c r="Y867" s="32">
        <v>0</v>
      </c>
      <c r="Z867" s="32">
        <v>0</v>
      </c>
      <c r="AA867" s="32">
        <v>0</v>
      </c>
      <c r="AB867" s="32">
        <v>0</v>
      </c>
      <c r="AC867" s="32">
        <f t="shared" si="394"/>
        <v>44262.81</v>
      </c>
      <c r="AD867" s="32">
        <v>150000</v>
      </c>
      <c r="AE867" s="32">
        <v>0</v>
      </c>
      <c r="AF867" s="35">
        <v>2021</v>
      </c>
      <c r="AG867" s="35">
        <v>2021</v>
      </c>
      <c r="AH867" s="36">
        <v>2021</v>
      </c>
      <c r="AT867" s="21" t="e">
        <f t="shared" si="380"/>
        <v>#N/A</v>
      </c>
    </row>
    <row r="868" spans="1:46" ht="61.5" x14ac:dyDescent="0.85">
      <c r="B868" s="25" t="s">
        <v>905</v>
      </c>
      <c r="C868" s="25"/>
      <c r="D868" s="32">
        <f>D869+D870+D871</f>
        <v>13767321.040000001</v>
      </c>
      <c r="E868" s="32">
        <f t="shared" ref="E868:AE868" si="395">E869+E870+E871</f>
        <v>0</v>
      </c>
      <c r="F868" s="32">
        <f t="shared" si="395"/>
        <v>0</v>
      </c>
      <c r="G868" s="32">
        <f t="shared" si="395"/>
        <v>0</v>
      </c>
      <c r="H868" s="32">
        <f t="shared" si="395"/>
        <v>464292.62</v>
      </c>
      <c r="I868" s="32">
        <f t="shared" si="395"/>
        <v>0</v>
      </c>
      <c r="J868" s="32">
        <f t="shared" si="395"/>
        <v>0</v>
      </c>
      <c r="K868" s="34">
        <f t="shared" si="395"/>
        <v>0</v>
      </c>
      <c r="L868" s="32">
        <f t="shared" si="395"/>
        <v>0</v>
      </c>
      <c r="M868" s="32">
        <f t="shared" si="395"/>
        <v>2643.6499999999996</v>
      </c>
      <c r="N868" s="32">
        <f t="shared" si="395"/>
        <v>12675925.15</v>
      </c>
      <c r="O868" s="32">
        <f t="shared" si="395"/>
        <v>0</v>
      </c>
      <c r="P868" s="32">
        <f t="shared" si="395"/>
        <v>0</v>
      </c>
      <c r="Q868" s="32">
        <f t="shared" si="395"/>
        <v>0</v>
      </c>
      <c r="R868" s="32">
        <f t="shared" si="395"/>
        <v>0</v>
      </c>
      <c r="S868" s="32">
        <f t="shared" si="395"/>
        <v>0</v>
      </c>
      <c r="T868" s="32">
        <f t="shared" si="395"/>
        <v>0</v>
      </c>
      <c r="U868" s="32">
        <f t="shared" si="395"/>
        <v>0</v>
      </c>
      <c r="V868" s="32">
        <f t="shared" si="395"/>
        <v>0</v>
      </c>
      <c r="W868" s="32">
        <f t="shared" si="395"/>
        <v>0</v>
      </c>
      <c r="X868" s="32">
        <f t="shared" si="395"/>
        <v>0</v>
      </c>
      <c r="Y868" s="32">
        <f t="shared" si="395"/>
        <v>0</v>
      </c>
      <c r="Z868" s="32">
        <f t="shared" si="395"/>
        <v>0</v>
      </c>
      <c r="AA868" s="32">
        <f t="shared" si="395"/>
        <v>0</v>
      </c>
      <c r="AB868" s="32">
        <f t="shared" si="395"/>
        <v>0</v>
      </c>
      <c r="AC868" s="32">
        <f t="shared" si="395"/>
        <v>197103.27000000002</v>
      </c>
      <c r="AD868" s="32">
        <f t="shared" si="395"/>
        <v>430000</v>
      </c>
      <c r="AE868" s="32">
        <f t="shared" si="395"/>
        <v>0</v>
      </c>
      <c r="AF868" s="77" t="s">
        <v>801</v>
      </c>
      <c r="AG868" s="77" t="s">
        <v>801</v>
      </c>
      <c r="AH868" s="107" t="s">
        <v>801</v>
      </c>
      <c r="AT868" s="21" t="e">
        <f t="shared" si="380"/>
        <v>#N/A</v>
      </c>
    </row>
    <row r="869" spans="1:46" ht="61.5" x14ac:dyDescent="0.85">
      <c r="A869" s="21">
        <v>1</v>
      </c>
      <c r="B869" s="70">
        <f>SUBTOTAL(103,$A$535:A869)</f>
        <v>289</v>
      </c>
      <c r="C869" s="25" t="s">
        <v>149</v>
      </c>
      <c r="D869" s="32">
        <f t="shared" ref="D869:D871" si="396">E869+F869+G869+H869+I869+J869+L869+N869+P869+R869+T869+U869+V869+W869+X869+Y869+Z869+AA869+AB869+AC869+AD869+AE869</f>
        <v>6391288.3800000008</v>
      </c>
      <c r="E869" s="32">
        <v>0</v>
      </c>
      <c r="F869" s="32">
        <v>0</v>
      </c>
      <c r="G869" s="32">
        <v>0</v>
      </c>
      <c r="H869" s="32">
        <v>0</v>
      </c>
      <c r="I869" s="32">
        <v>0</v>
      </c>
      <c r="J869" s="32">
        <v>0</v>
      </c>
      <c r="K869" s="34">
        <v>0</v>
      </c>
      <c r="L869" s="32">
        <v>0</v>
      </c>
      <c r="M869" s="32">
        <v>1101.8</v>
      </c>
      <c r="N869" s="32">
        <v>6119495.9400000004</v>
      </c>
      <c r="O869" s="32">
        <v>0</v>
      </c>
      <c r="P869" s="32">
        <v>0</v>
      </c>
      <c r="Q869" s="32">
        <v>0</v>
      </c>
      <c r="R869" s="32">
        <v>0</v>
      </c>
      <c r="S869" s="32">
        <v>0</v>
      </c>
      <c r="T869" s="32">
        <v>0</v>
      </c>
      <c r="U869" s="32">
        <v>0</v>
      </c>
      <c r="V869" s="32">
        <v>0</v>
      </c>
      <c r="W869" s="32">
        <v>0</v>
      </c>
      <c r="X869" s="32">
        <v>0</v>
      </c>
      <c r="Y869" s="32">
        <v>0</v>
      </c>
      <c r="Z869" s="32">
        <v>0</v>
      </c>
      <c r="AA869" s="32">
        <v>0</v>
      </c>
      <c r="AB869" s="32">
        <v>0</v>
      </c>
      <c r="AC869" s="32">
        <f t="shared" ref="AC869:AC870" si="397">ROUND(N869*1.5%,2)</f>
        <v>91792.44</v>
      </c>
      <c r="AD869" s="32">
        <v>180000</v>
      </c>
      <c r="AE869" s="32">
        <v>0</v>
      </c>
      <c r="AF869" s="35">
        <v>2021</v>
      </c>
      <c r="AG869" s="35">
        <v>2021</v>
      </c>
      <c r="AH869" s="36">
        <v>2021</v>
      </c>
      <c r="AT869" s="21" t="e">
        <f t="shared" si="380"/>
        <v>#N/A</v>
      </c>
    </row>
    <row r="870" spans="1:46" ht="61.5" x14ac:dyDescent="0.85">
      <c r="A870" s="21">
        <v>1</v>
      </c>
      <c r="B870" s="70">
        <f>SUBTOTAL(103,$A$535:A870)</f>
        <v>290</v>
      </c>
      <c r="C870" s="25" t="s">
        <v>161</v>
      </c>
      <c r="D870" s="32">
        <f t="shared" si="396"/>
        <v>6834775.6500000004</v>
      </c>
      <c r="E870" s="32">
        <v>0</v>
      </c>
      <c r="F870" s="32">
        <v>0</v>
      </c>
      <c r="G870" s="32">
        <v>0</v>
      </c>
      <c r="H870" s="32">
        <v>0</v>
      </c>
      <c r="I870" s="32">
        <v>0</v>
      </c>
      <c r="J870" s="32">
        <v>0</v>
      </c>
      <c r="K870" s="34">
        <v>0</v>
      </c>
      <c r="L870" s="32">
        <v>0</v>
      </c>
      <c r="M870" s="32">
        <v>1541.85</v>
      </c>
      <c r="N870" s="32">
        <v>6556429.21</v>
      </c>
      <c r="O870" s="32">
        <v>0</v>
      </c>
      <c r="P870" s="32">
        <v>0</v>
      </c>
      <c r="Q870" s="32">
        <v>0</v>
      </c>
      <c r="R870" s="32">
        <v>0</v>
      </c>
      <c r="S870" s="32">
        <v>0</v>
      </c>
      <c r="T870" s="32">
        <v>0</v>
      </c>
      <c r="U870" s="32">
        <v>0</v>
      </c>
      <c r="V870" s="32">
        <v>0</v>
      </c>
      <c r="W870" s="32">
        <v>0</v>
      </c>
      <c r="X870" s="32">
        <v>0</v>
      </c>
      <c r="Y870" s="32">
        <v>0</v>
      </c>
      <c r="Z870" s="32">
        <v>0</v>
      </c>
      <c r="AA870" s="32">
        <v>0</v>
      </c>
      <c r="AB870" s="32">
        <v>0</v>
      </c>
      <c r="AC870" s="32">
        <f t="shared" si="397"/>
        <v>98346.44</v>
      </c>
      <c r="AD870" s="32">
        <v>180000</v>
      </c>
      <c r="AE870" s="32">
        <v>0</v>
      </c>
      <c r="AF870" s="35">
        <v>2021</v>
      </c>
      <c r="AG870" s="35">
        <v>2021</v>
      </c>
      <c r="AH870" s="36">
        <v>2021</v>
      </c>
      <c r="AT870" s="21" t="e">
        <f>VLOOKUP(C870,AW$870:AX$870,2,FALSE)</f>
        <v>#N/A</v>
      </c>
    </row>
    <row r="871" spans="1:46" ht="61.5" x14ac:dyDescent="0.85">
      <c r="A871" s="21">
        <v>1</v>
      </c>
      <c r="B871" s="70">
        <f>SUBTOTAL(103,$A$535:A871)</f>
        <v>291</v>
      </c>
      <c r="C871" s="25" t="s">
        <v>151</v>
      </c>
      <c r="D871" s="32">
        <f t="shared" si="396"/>
        <v>541257.01</v>
      </c>
      <c r="E871" s="32">
        <v>0</v>
      </c>
      <c r="F871" s="32">
        <v>0</v>
      </c>
      <c r="G871" s="32">
        <v>0</v>
      </c>
      <c r="H871" s="32">
        <v>464292.62</v>
      </c>
      <c r="I871" s="32">
        <v>0</v>
      </c>
      <c r="J871" s="32">
        <v>0</v>
      </c>
      <c r="K871" s="34">
        <v>0</v>
      </c>
      <c r="L871" s="32">
        <v>0</v>
      </c>
      <c r="M871" s="32">
        <v>0</v>
      </c>
      <c r="N871" s="32">
        <v>0</v>
      </c>
      <c r="O871" s="32">
        <v>0</v>
      </c>
      <c r="P871" s="32">
        <v>0</v>
      </c>
      <c r="Q871" s="32">
        <v>0</v>
      </c>
      <c r="R871" s="32">
        <v>0</v>
      </c>
      <c r="S871" s="32">
        <v>0</v>
      </c>
      <c r="T871" s="32">
        <v>0</v>
      </c>
      <c r="U871" s="32">
        <v>0</v>
      </c>
      <c r="V871" s="32">
        <v>0</v>
      </c>
      <c r="W871" s="32">
        <v>0</v>
      </c>
      <c r="X871" s="32">
        <v>0</v>
      </c>
      <c r="Y871" s="32">
        <v>0</v>
      </c>
      <c r="Z871" s="32">
        <v>0</v>
      </c>
      <c r="AA871" s="32">
        <v>0</v>
      </c>
      <c r="AB871" s="32">
        <v>0</v>
      </c>
      <c r="AC871" s="32">
        <f>ROUND((E871+F871+G871+H871+I871+J871)*1.5%,2)</f>
        <v>6964.39</v>
      </c>
      <c r="AD871" s="32">
        <v>70000</v>
      </c>
      <c r="AE871" s="32">
        <v>0</v>
      </c>
      <c r="AF871" s="35">
        <v>2021</v>
      </c>
      <c r="AG871" s="35">
        <v>2021</v>
      </c>
      <c r="AH871" s="36">
        <v>2021</v>
      </c>
      <c r="AT871" s="21" t="e">
        <f t="shared" ref="AT871:AT902" si="398">VLOOKUP(C871,AW:AX,2,FALSE)</f>
        <v>#N/A</v>
      </c>
    </row>
    <row r="872" spans="1:46" ht="61.5" x14ac:dyDescent="0.85">
      <c r="B872" s="25" t="s">
        <v>906</v>
      </c>
      <c r="C872" s="110"/>
      <c r="D872" s="32">
        <f>D873+D874</f>
        <v>9023270.3999999985</v>
      </c>
      <c r="E872" s="32">
        <f t="shared" ref="E872:AE872" si="399">E873+E874</f>
        <v>0</v>
      </c>
      <c r="F872" s="32">
        <f t="shared" si="399"/>
        <v>0</v>
      </c>
      <c r="G872" s="32">
        <f t="shared" si="399"/>
        <v>0</v>
      </c>
      <c r="H872" s="32">
        <f t="shared" si="399"/>
        <v>0</v>
      </c>
      <c r="I872" s="32">
        <f t="shared" si="399"/>
        <v>0</v>
      </c>
      <c r="J872" s="32">
        <f t="shared" si="399"/>
        <v>0</v>
      </c>
      <c r="K872" s="34">
        <f t="shared" si="399"/>
        <v>0</v>
      </c>
      <c r="L872" s="32">
        <f t="shared" si="399"/>
        <v>0</v>
      </c>
      <c r="M872" s="32">
        <f t="shared" si="399"/>
        <v>1728</v>
      </c>
      <c r="N872" s="32">
        <f t="shared" si="399"/>
        <v>8594355.0800000001</v>
      </c>
      <c r="O872" s="32">
        <f t="shared" si="399"/>
        <v>0</v>
      </c>
      <c r="P872" s="32">
        <f t="shared" si="399"/>
        <v>0</v>
      </c>
      <c r="Q872" s="32">
        <f t="shared" si="399"/>
        <v>0</v>
      </c>
      <c r="R872" s="32">
        <f t="shared" si="399"/>
        <v>0</v>
      </c>
      <c r="S872" s="32">
        <f t="shared" si="399"/>
        <v>0</v>
      </c>
      <c r="T872" s="32">
        <f t="shared" si="399"/>
        <v>0</v>
      </c>
      <c r="U872" s="32">
        <f t="shared" si="399"/>
        <v>0</v>
      </c>
      <c r="V872" s="32">
        <f t="shared" si="399"/>
        <v>0</v>
      </c>
      <c r="W872" s="32">
        <f t="shared" si="399"/>
        <v>0</v>
      </c>
      <c r="X872" s="32">
        <f t="shared" si="399"/>
        <v>0</v>
      </c>
      <c r="Y872" s="32">
        <f t="shared" si="399"/>
        <v>0</v>
      </c>
      <c r="Z872" s="32">
        <f t="shared" si="399"/>
        <v>0</v>
      </c>
      <c r="AA872" s="32">
        <f t="shared" si="399"/>
        <v>0</v>
      </c>
      <c r="AB872" s="32">
        <f t="shared" si="399"/>
        <v>0</v>
      </c>
      <c r="AC872" s="32">
        <f t="shared" si="399"/>
        <v>128915.32</v>
      </c>
      <c r="AD872" s="32">
        <f t="shared" si="399"/>
        <v>300000</v>
      </c>
      <c r="AE872" s="32">
        <f t="shared" si="399"/>
        <v>0</v>
      </c>
      <c r="AF872" s="77" t="s">
        <v>801</v>
      </c>
      <c r="AG872" s="77" t="s">
        <v>801</v>
      </c>
      <c r="AH872" s="107" t="s">
        <v>801</v>
      </c>
      <c r="AT872" s="21" t="e">
        <f t="shared" si="398"/>
        <v>#N/A</v>
      </c>
    </row>
    <row r="873" spans="1:46" ht="61.5" x14ac:dyDescent="0.85">
      <c r="A873" s="21">
        <v>1</v>
      </c>
      <c r="B873" s="70">
        <f>SUBTOTAL(103,$A$535:A873)</f>
        <v>292</v>
      </c>
      <c r="C873" s="25" t="s">
        <v>98</v>
      </c>
      <c r="D873" s="32">
        <f t="shared" ref="D873:D874" si="400">E873+F873+G873+H873+I873+J873+L873+N873+P873+R873+T873+U873+V873+W873+X873+Y873+Z873+AA873+AB873+AC873+AD873+AE873</f>
        <v>4020786</v>
      </c>
      <c r="E873" s="32">
        <v>0</v>
      </c>
      <c r="F873" s="32">
        <v>0</v>
      </c>
      <c r="G873" s="32">
        <v>0</v>
      </c>
      <c r="H873" s="32">
        <v>0</v>
      </c>
      <c r="I873" s="32">
        <v>0</v>
      </c>
      <c r="J873" s="32">
        <v>0</v>
      </c>
      <c r="K873" s="34">
        <v>0</v>
      </c>
      <c r="L873" s="32">
        <v>0</v>
      </c>
      <c r="M873" s="32">
        <v>770</v>
      </c>
      <c r="N873" s="32">
        <v>3813582.27</v>
      </c>
      <c r="O873" s="32">
        <v>0</v>
      </c>
      <c r="P873" s="32">
        <v>0</v>
      </c>
      <c r="Q873" s="32">
        <v>0</v>
      </c>
      <c r="R873" s="32">
        <v>0</v>
      </c>
      <c r="S873" s="32">
        <v>0</v>
      </c>
      <c r="T873" s="32">
        <v>0</v>
      </c>
      <c r="U873" s="32">
        <v>0</v>
      </c>
      <c r="V873" s="32">
        <v>0</v>
      </c>
      <c r="W873" s="32">
        <v>0</v>
      </c>
      <c r="X873" s="32">
        <v>0</v>
      </c>
      <c r="Y873" s="32">
        <v>0</v>
      </c>
      <c r="Z873" s="32">
        <v>0</v>
      </c>
      <c r="AA873" s="32">
        <v>0</v>
      </c>
      <c r="AB873" s="32">
        <v>0</v>
      </c>
      <c r="AC873" s="32">
        <f t="shared" ref="AC873:AC874" si="401">ROUND(N873*1.5%,2)</f>
        <v>57203.73</v>
      </c>
      <c r="AD873" s="32">
        <v>150000</v>
      </c>
      <c r="AE873" s="32">
        <v>0</v>
      </c>
      <c r="AF873" s="35">
        <v>2021</v>
      </c>
      <c r="AG873" s="35">
        <v>2021</v>
      </c>
      <c r="AH873" s="36">
        <v>2021</v>
      </c>
      <c r="AT873" s="21" t="e">
        <f t="shared" si="398"/>
        <v>#N/A</v>
      </c>
    </row>
    <row r="874" spans="1:46" ht="61.5" x14ac:dyDescent="0.85">
      <c r="A874" s="21">
        <v>1</v>
      </c>
      <c r="B874" s="70">
        <f>SUBTOTAL(103,$A$535:A874)</f>
        <v>293</v>
      </c>
      <c r="C874" s="25" t="s">
        <v>97</v>
      </c>
      <c r="D874" s="32">
        <f t="shared" si="400"/>
        <v>5002484.3999999994</v>
      </c>
      <c r="E874" s="32">
        <v>0</v>
      </c>
      <c r="F874" s="32">
        <v>0</v>
      </c>
      <c r="G874" s="32">
        <v>0</v>
      </c>
      <c r="H874" s="32">
        <v>0</v>
      </c>
      <c r="I874" s="32">
        <v>0</v>
      </c>
      <c r="J874" s="32">
        <v>0</v>
      </c>
      <c r="K874" s="34">
        <v>0</v>
      </c>
      <c r="L874" s="32">
        <v>0</v>
      </c>
      <c r="M874" s="32">
        <v>958</v>
      </c>
      <c r="N874" s="32">
        <v>4780772.8099999996</v>
      </c>
      <c r="O874" s="32">
        <v>0</v>
      </c>
      <c r="P874" s="32">
        <v>0</v>
      </c>
      <c r="Q874" s="32">
        <v>0</v>
      </c>
      <c r="R874" s="32">
        <v>0</v>
      </c>
      <c r="S874" s="32">
        <v>0</v>
      </c>
      <c r="T874" s="32">
        <v>0</v>
      </c>
      <c r="U874" s="32">
        <v>0</v>
      </c>
      <c r="V874" s="32">
        <v>0</v>
      </c>
      <c r="W874" s="32">
        <v>0</v>
      </c>
      <c r="X874" s="32">
        <v>0</v>
      </c>
      <c r="Y874" s="32">
        <v>0</v>
      </c>
      <c r="Z874" s="32">
        <v>0</v>
      </c>
      <c r="AA874" s="32">
        <v>0</v>
      </c>
      <c r="AB874" s="32">
        <v>0</v>
      </c>
      <c r="AC874" s="32">
        <f t="shared" si="401"/>
        <v>71711.59</v>
      </c>
      <c r="AD874" s="32">
        <v>150000</v>
      </c>
      <c r="AE874" s="32">
        <v>0</v>
      </c>
      <c r="AF874" s="35">
        <v>2021</v>
      </c>
      <c r="AG874" s="35">
        <v>2021</v>
      </c>
      <c r="AH874" s="36">
        <v>2021</v>
      </c>
      <c r="AT874" s="21" t="e">
        <f t="shared" si="398"/>
        <v>#N/A</v>
      </c>
    </row>
    <row r="875" spans="1:46" ht="61.5" x14ac:dyDescent="0.85">
      <c r="B875" s="25" t="s">
        <v>907</v>
      </c>
      <c r="C875" s="25"/>
      <c r="D875" s="32">
        <f>D876</f>
        <v>3080862</v>
      </c>
      <c r="E875" s="32">
        <f t="shared" ref="E875:AE875" si="402">E876</f>
        <v>0</v>
      </c>
      <c r="F875" s="32">
        <f t="shared" si="402"/>
        <v>0</v>
      </c>
      <c r="G875" s="32">
        <f t="shared" si="402"/>
        <v>0</v>
      </c>
      <c r="H875" s="32">
        <f t="shared" si="402"/>
        <v>0</v>
      </c>
      <c r="I875" s="32">
        <f t="shared" si="402"/>
        <v>0</v>
      </c>
      <c r="J875" s="32">
        <f t="shared" si="402"/>
        <v>0</v>
      </c>
      <c r="K875" s="34">
        <f t="shared" si="402"/>
        <v>0</v>
      </c>
      <c r="L875" s="32">
        <f t="shared" si="402"/>
        <v>0</v>
      </c>
      <c r="M875" s="32">
        <f t="shared" si="402"/>
        <v>590</v>
      </c>
      <c r="N875" s="32">
        <f t="shared" si="402"/>
        <v>2887548.77</v>
      </c>
      <c r="O875" s="32">
        <f t="shared" si="402"/>
        <v>0</v>
      </c>
      <c r="P875" s="32">
        <f t="shared" si="402"/>
        <v>0</v>
      </c>
      <c r="Q875" s="32">
        <f t="shared" si="402"/>
        <v>0</v>
      </c>
      <c r="R875" s="32">
        <f t="shared" si="402"/>
        <v>0</v>
      </c>
      <c r="S875" s="32">
        <f t="shared" si="402"/>
        <v>0</v>
      </c>
      <c r="T875" s="32">
        <f t="shared" si="402"/>
        <v>0</v>
      </c>
      <c r="U875" s="32">
        <f t="shared" si="402"/>
        <v>0</v>
      </c>
      <c r="V875" s="32">
        <f t="shared" si="402"/>
        <v>0</v>
      </c>
      <c r="W875" s="32">
        <f t="shared" si="402"/>
        <v>0</v>
      </c>
      <c r="X875" s="32">
        <f t="shared" si="402"/>
        <v>0</v>
      </c>
      <c r="Y875" s="32">
        <f t="shared" si="402"/>
        <v>0</v>
      </c>
      <c r="Z875" s="32">
        <f t="shared" si="402"/>
        <v>0</v>
      </c>
      <c r="AA875" s="32">
        <f t="shared" si="402"/>
        <v>0</v>
      </c>
      <c r="AB875" s="32">
        <f t="shared" si="402"/>
        <v>0</v>
      </c>
      <c r="AC875" s="32">
        <f t="shared" si="402"/>
        <v>43313.23</v>
      </c>
      <c r="AD875" s="32">
        <f t="shared" si="402"/>
        <v>150000</v>
      </c>
      <c r="AE875" s="32">
        <f t="shared" si="402"/>
        <v>0</v>
      </c>
      <c r="AF875" s="77" t="s">
        <v>801</v>
      </c>
      <c r="AG875" s="77" t="s">
        <v>801</v>
      </c>
      <c r="AH875" s="107" t="s">
        <v>801</v>
      </c>
      <c r="AT875" s="21" t="e">
        <f t="shared" si="398"/>
        <v>#N/A</v>
      </c>
    </row>
    <row r="876" spans="1:46" ht="61.5" x14ac:dyDescent="0.85">
      <c r="A876" s="21">
        <v>1</v>
      </c>
      <c r="B876" s="70">
        <f>SUBTOTAL(103,$A$535:A876)</f>
        <v>294</v>
      </c>
      <c r="C876" s="25" t="s">
        <v>99</v>
      </c>
      <c r="D876" s="32">
        <f t="shared" ref="D876" si="403">E876+F876+G876+H876+I876+J876+L876+N876+P876+R876+T876+U876+V876+W876+X876+Y876+Z876+AA876+AB876+AC876+AD876+AE876</f>
        <v>3080862</v>
      </c>
      <c r="E876" s="32">
        <v>0</v>
      </c>
      <c r="F876" s="32">
        <v>0</v>
      </c>
      <c r="G876" s="32">
        <v>0</v>
      </c>
      <c r="H876" s="32">
        <v>0</v>
      </c>
      <c r="I876" s="32">
        <v>0</v>
      </c>
      <c r="J876" s="32">
        <v>0</v>
      </c>
      <c r="K876" s="34">
        <v>0</v>
      </c>
      <c r="L876" s="32">
        <v>0</v>
      </c>
      <c r="M876" s="32">
        <v>590</v>
      </c>
      <c r="N876" s="32">
        <v>2887548.77</v>
      </c>
      <c r="O876" s="32">
        <v>0</v>
      </c>
      <c r="P876" s="32">
        <v>0</v>
      </c>
      <c r="Q876" s="32">
        <v>0</v>
      </c>
      <c r="R876" s="32">
        <v>0</v>
      </c>
      <c r="S876" s="32">
        <v>0</v>
      </c>
      <c r="T876" s="32">
        <v>0</v>
      </c>
      <c r="U876" s="32">
        <v>0</v>
      </c>
      <c r="V876" s="32">
        <v>0</v>
      </c>
      <c r="W876" s="32">
        <v>0</v>
      </c>
      <c r="X876" s="32">
        <v>0</v>
      </c>
      <c r="Y876" s="32">
        <v>0</v>
      </c>
      <c r="Z876" s="32">
        <v>0</v>
      </c>
      <c r="AA876" s="32">
        <v>0</v>
      </c>
      <c r="AB876" s="32">
        <v>0</v>
      </c>
      <c r="AC876" s="32">
        <f>ROUND(N876*1.5%,2)</f>
        <v>43313.23</v>
      </c>
      <c r="AD876" s="32">
        <v>150000</v>
      </c>
      <c r="AE876" s="32">
        <v>0</v>
      </c>
      <c r="AF876" s="35">
        <v>2021</v>
      </c>
      <c r="AG876" s="35">
        <v>2021</v>
      </c>
      <c r="AH876" s="36">
        <v>2021</v>
      </c>
      <c r="AT876" s="21" t="e">
        <f t="shared" si="398"/>
        <v>#N/A</v>
      </c>
    </row>
    <row r="877" spans="1:46" ht="61.5" x14ac:dyDescent="0.85">
      <c r="B877" s="25" t="s">
        <v>931</v>
      </c>
      <c r="C877" s="25"/>
      <c r="D877" s="32">
        <f>D878</f>
        <v>3655260</v>
      </c>
      <c r="E877" s="32">
        <f t="shared" ref="E877:AE877" si="404">E878</f>
        <v>0</v>
      </c>
      <c r="F877" s="32">
        <f t="shared" si="404"/>
        <v>0</v>
      </c>
      <c r="G877" s="32">
        <f t="shared" si="404"/>
        <v>0</v>
      </c>
      <c r="H877" s="32">
        <f t="shared" si="404"/>
        <v>0</v>
      </c>
      <c r="I877" s="32">
        <f t="shared" si="404"/>
        <v>0</v>
      </c>
      <c r="J877" s="32">
        <f t="shared" si="404"/>
        <v>0</v>
      </c>
      <c r="K877" s="34">
        <f t="shared" si="404"/>
        <v>0</v>
      </c>
      <c r="L877" s="32">
        <f t="shared" si="404"/>
        <v>0</v>
      </c>
      <c r="M877" s="32">
        <f t="shared" si="404"/>
        <v>700</v>
      </c>
      <c r="N877" s="32">
        <f t="shared" si="404"/>
        <v>3453458.13</v>
      </c>
      <c r="O877" s="32">
        <f t="shared" si="404"/>
        <v>0</v>
      </c>
      <c r="P877" s="32">
        <f t="shared" si="404"/>
        <v>0</v>
      </c>
      <c r="Q877" s="32">
        <f t="shared" si="404"/>
        <v>0</v>
      </c>
      <c r="R877" s="32">
        <f t="shared" si="404"/>
        <v>0</v>
      </c>
      <c r="S877" s="32">
        <f t="shared" si="404"/>
        <v>0</v>
      </c>
      <c r="T877" s="32">
        <f t="shared" si="404"/>
        <v>0</v>
      </c>
      <c r="U877" s="32">
        <f t="shared" si="404"/>
        <v>0</v>
      </c>
      <c r="V877" s="32">
        <f t="shared" si="404"/>
        <v>0</v>
      </c>
      <c r="W877" s="32">
        <f t="shared" si="404"/>
        <v>0</v>
      </c>
      <c r="X877" s="32">
        <f t="shared" si="404"/>
        <v>0</v>
      </c>
      <c r="Y877" s="32">
        <f t="shared" si="404"/>
        <v>0</v>
      </c>
      <c r="Z877" s="32">
        <f t="shared" si="404"/>
        <v>0</v>
      </c>
      <c r="AA877" s="32">
        <f t="shared" si="404"/>
        <v>0</v>
      </c>
      <c r="AB877" s="32">
        <f t="shared" si="404"/>
        <v>0</v>
      </c>
      <c r="AC877" s="32">
        <f t="shared" si="404"/>
        <v>51801.87</v>
      </c>
      <c r="AD877" s="32">
        <f t="shared" si="404"/>
        <v>150000</v>
      </c>
      <c r="AE877" s="32">
        <f t="shared" si="404"/>
        <v>0</v>
      </c>
      <c r="AF877" s="77" t="s">
        <v>801</v>
      </c>
      <c r="AG877" s="77" t="s">
        <v>801</v>
      </c>
      <c r="AH877" s="107" t="s">
        <v>801</v>
      </c>
      <c r="AT877" s="21" t="e">
        <f t="shared" si="398"/>
        <v>#N/A</v>
      </c>
    </row>
    <row r="878" spans="1:46" ht="61.5" x14ac:dyDescent="0.85">
      <c r="A878" s="21">
        <v>1</v>
      </c>
      <c r="B878" s="70">
        <f>SUBTOTAL(103,$A$535:A878)</f>
        <v>295</v>
      </c>
      <c r="C878" s="25" t="s">
        <v>100</v>
      </c>
      <c r="D878" s="32">
        <f t="shared" ref="D878" si="405">E878+F878+G878+H878+I878+J878+L878+N878+P878+R878+T878+U878+V878+W878+X878+Y878+Z878+AA878+AB878+AC878+AD878+AE878</f>
        <v>3655260</v>
      </c>
      <c r="E878" s="32">
        <v>0</v>
      </c>
      <c r="F878" s="32">
        <v>0</v>
      </c>
      <c r="G878" s="32">
        <v>0</v>
      </c>
      <c r="H878" s="32">
        <v>0</v>
      </c>
      <c r="I878" s="32">
        <v>0</v>
      </c>
      <c r="J878" s="32">
        <v>0</v>
      </c>
      <c r="K878" s="34">
        <v>0</v>
      </c>
      <c r="L878" s="32">
        <v>0</v>
      </c>
      <c r="M878" s="32">
        <v>700</v>
      </c>
      <c r="N878" s="32">
        <v>3453458.13</v>
      </c>
      <c r="O878" s="32">
        <v>0</v>
      </c>
      <c r="P878" s="32">
        <v>0</v>
      </c>
      <c r="Q878" s="32">
        <v>0</v>
      </c>
      <c r="R878" s="32">
        <v>0</v>
      </c>
      <c r="S878" s="32">
        <v>0</v>
      </c>
      <c r="T878" s="32">
        <v>0</v>
      </c>
      <c r="U878" s="32">
        <v>0</v>
      </c>
      <c r="V878" s="32">
        <v>0</v>
      </c>
      <c r="W878" s="32">
        <v>0</v>
      </c>
      <c r="X878" s="32">
        <v>0</v>
      </c>
      <c r="Y878" s="32">
        <v>0</v>
      </c>
      <c r="Z878" s="32">
        <v>0</v>
      </c>
      <c r="AA878" s="32">
        <v>0</v>
      </c>
      <c r="AB878" s="32">
        <v>0</v>
      </c>
      <c r="AC878" s="32">
        <f>ROUND(N878*1.5%,2)</f>
        <v>51801.87</v>
      </c>
      <c r="AD878" s="32">
        <v>150000</v>
      </c>
      <c r="AE878" s="32">
        <v>0</v>
      </c>
      <c r="AF878" s="35">
        <v>2021</v>
      </c>
      <c r="AG878" s="35">
        <v>2021</v>
      </c>
      <c r="AH878" s="36">
        <v>2021</v>
      </c>
      <c r="AT878" s="21" t="e">
        <f t="shared" si="398"/>
        <v>#N/A</v>
      </c>
    </row>
    <row r="879" spans="1:46" ht="61.5" x14ac:dyDescent="0.85">
      <c r="B879" s="25" t="s">
        <v>909</v>
      </c>
      <c r="C879" s="25"/>
      <c r="D879" s="32">
        <f>D880</f>
        <v>3080862</v>
      </c>
      <c r="E879" s="32">
        <f t="shared" ref="E879:AE879" si="406">E880</f>
        <v>0</v>
      </c>
      <c r="F879" s="32">
        <f t="shared" si="406"/>
        <v>0</v>
      </c>
      <c r="G879" s="32">
        <f t="shared" si="406"/>
        <v>0</v>
      </c>
      <c r="H879" s="32">
        <f t="shared" si="406"/>
        <v>0</v>
      </c>
      <c r="I879" s="32">
        <f t="shared" si="406"/>
        <v>0</v>
      </c>
      <c r="J879" s="32">
        <f t="shared" si="406"/>
        <v>0</v>
      </c>
      <c r="K879" s="34">
        <f t="shared" si="406"/>
        <v>0</v>
      </c>
      <c r="L879" s="32">
        <f t="shared" si="406"/>
        <v>0</v>
      </c>
      <c r="M879" s="32">
        <f t="shared" si="406"/>
        <v>590</v>
      </c>
      <c r="N879" s="32">
        <f t="shared" si="406"/>
        <v>2887548.77</v>
      </c>
      <c r="O879" s="32">
        <f t="shared" si="406"/>
        <v>0</v>
      </c>
      <c r="P879" s="32">
        <f t="shared" si="406"/>
        <v>0</v>
      </c>
      <c r="Q879" s="32">
        <f t="shared" si="406"/>
        <v>0</v>
      </c>
      <c r="R879" s="32">
        <f t="shared" si="406"/>
        <v>0</v>
      </c>
      <c r="S879" s="32">
        <f t="shared" si="406"/>
        <v>0</v>
      </c>
      <c r="T879" s="32">
        <f t="shared" si="406"/>
        <v>0</v>
      </c>
      <c r="U879" s="32">
        <f t="shared" si="406"/>
        <v>0</v>
      </c>
      <c r="V879" s="32">
        <f t="shared" si="406"/>
        <v>0</v>
      </c>
      <c r="W879" s="32">
        <f t="shared" si="406"/>
        <v>0</v>
      </c>
      <c r="X879" s="32">
        <f t="shared" si="406"/>
        <v>0</v>
      </c>
      <c r="Y879" s="32">
        <f t="shared" si="406"/>
        <v>0</v>
      </c>
      <c r="Z879" s="32">
        <f t="shared" si="406"/>
        <v>0</v>
      </c>
      <c r="AA879" s="32">
        <f t="shared" si="406"/>
        <v>0</v>
      </c>
      <c r="AB879" s="32">
        <f t="shared" si="406"/>
        <v>0</v>
      </c>
      <c r="AC879" s="32">
        <f t="shared" si="406"/>
        <v>43313.23</v>
      </c>
      <c r="AD879" s="32">
        <f t="shared" si="406"/>
        <v>150000</v>
      </c>
      <c r="AE879" s="32">
        <f t="shared" si="406"/>
        <v>0</v>
      </c>
      <c r="AF879" s="77" t="s">
        <v>801</v>
      </c>
      <c r="AG879" s="77" t="s">
        <v>801</v>
      </c>
      <c r="AH879" s="107" t="s">
        <v>801</v>
      </c>
      <c r="AT879" s="21" t="e">
        <f t="shared" si="398"/>
        <v>#N/A</v>
      </c>
    </row>
    <row r="880" spans="1:46" ht="61.5" x14ac:dyDescent="0.85">
      <c r="A880" s="21">
        <v>1</v>
      </c>
      <c r="B880" s="70">
        <f>SUBTOTAL(103,$A$535:A880)</f>
        <v>296</v>
      </c>
      <c r="C880" s="25" t="s">
        <v>101</v>
      </c>
      <c r="D880" s="32">
        <f t="shared" ref="D880" si="407">E880+F880+G880+H880+I880+J880+L880+N880+P880+R880+T880+U880+V880+W880+X880+Y880+Z880+AA880+AB880+AC880+AD880+AE880</f>
        <v>3080862</v>
      </c>
      <c r="E880" s="32">
        <v>0</v>
      </c>
      <c r="F880" s="32">
        <v>0</v>
      </c>
      <c r="G880" s="32">
        <v>0</v>
      </c>
      <c r="H880" s="32">
        <v>0</v>
      </c>
      <c r="I880" s="32">
        <v>0</v>
      </c>
      <c r="J880" s="32">
        <v>0</v>
      </c>
      <c r="K880" s="34">
        <v>0</v>
      </c>
      <c r="L880" s="32">
        <v>0</v>
      </c>
      <c r="M880" s="32">
        <v>590</v>
      </c>
      <c r="N880" s="32">
        <v>2887548.77</v>
      </c>
      <c r="O880" s="32">
        <v>0</v>
      </c>
      <c r="P880" s="32">
        <v>0</v>
      </c>
      <c r="Q880" s="32">
        <v>0</v>
      </c>
      <c r="R880" s="32">
        <v>0</v>
      </c>
      <c r="S880" s="32">
        <v>0</v>
      </c>
      <c r="T880" s="32">
        <v>0</v>
      </c>
      <c r="U880" s="32">
        <v>0</v>
      </c>
      <c r="V880" s="32">
        <v>0</v>
      </c>
      <c r="W880" s="32">
        <v>0</v>
      </c>
      <c r="X880" s="32">
        <v>0</v>
      </c>
      <c r="Y880" s="32">
        <v>0</v>
      </c>
      <c r="Z880" s="32">
        <v>0</v>
      </c>
      <c r="AA880" s="32">
        <v>0</v>
      </c>
      <c r="AB880" s="32">
        <v>0</v>
      </c>
      <c r="AC880" s="32">
        <f>ROUND(N880*1.5%,2)</f>
        <v>43313.23</v>
      </c>
      <c r="AD880" s="32">
        <v>150000</v>
      </c>
      <c r="AE880" s="32">
        <v>0</v>
      </c>
      <c r="AF880" s="35">
        <v>2021</v>
      </c>
      <c r="AG880" s="35">
        <v>2021</v>
      </c>
      <c r="AH880" s="36">
        <v>2021</v>
      </c>
      <c r="AT880" s="21" t="e">
        <f t="shared" si="398"/>
        <v>#N/A</v>
      </c>
    </row>
    <row r="881" spans="1:46" ht="61.5" x14ac:dyDescent="0.85">
      <c r="B881" s="25" t="s">
        <v>910</v>
      </c>
      <c r="C881" s="110"/>
      <c r="D881" s="32">
        <f>D882+D883+D884</f>
        <v>7774419.2400000002</v>
      </c>
      <c r="E881" s="32">
        <f t="shared" ref="E881:AE881" si="408">E882+E883+E884</f>
        <v>0</v>
      </c>
      <c r="F881" s="32">
        <f t="shared" si="408"/>
        <v>0</v>
      </c>
      <c r="G881" s="32">
        <f t="shared" si="408"/>
        <v>0</v>
      </c>
      <c r="H881" s="32">
        <f t="shared" si="408"/>
        <v>0</v>
      </c>
      <c r="I881" s="32">
        <f t="shared" si="408"/>
        <v>0</v>
      </c>
      <c r="J881" s="32">
        <f t="shared" si="408"/>
        <v>0</v>
      </c>
      <c r="K881" s="34">
        <f t="shared" si="408"/>
        <v>0</v>
      </c>
      <c r="L881" s="32">
        <f t="shared" si="408"/>
        <v>0</v>
      </c>
      <c r="M881" s="32">
        <f t="shared" si="408"/>
        <v>1206</v>
      </c>
      <c r="N881" s="32">
        <f t="shared" si="408"/>
        <v>5645911.3300000001</v>
      </c>
      <c r="O881" s="32">
        <f t="shared" si="408"/>
        <v>0</v>
      </c>
      <c r="P881" s="32">
        <f t="shared" si="408"/>
        <v>0</v>
      </c>
      <c r="Q881" s="32">
        <f t="shared" si="408"/>
        <v>531</v>
      </c>
      <c r="R881" s="32">
        <f t="shared" si="408"/>
        <v>1471743.09</v>
      </c>
      <c r="S881" s="32">
        <f t="shared" si="408"/>
        <v>0</v>
      </c>
      <c r="T881" s="32">
        <f t="shared" si="408"/>
        <v>0</v>
      </c>
      <c r="U881" s="32">
        <f t="shared" si="408"/>
        <v>0</v>
      </c>
      <c r="V881" s="32">
        <f t="shared" si="408"/>
        <v>0</v>
      </c>
      <c r="W881" s="32">
        <f t="shared" si="408"/>
        <v>0</v>
      </c>
      <c r="X881" s="32">
        <f t="shared" si="408"/>
        <v>0</v>
      </c>
      <c r="Y881" s="32">
        <f t="shared" si="408"/>
        <v>0</v>
      </c>
      <c r="Z881" s="32">
        <f t="shared" si="408"/>
        <v>0</v>
      </c>
      <c r="AA881" s="32">
        <f t="shared" si="408"/>
        <v>0</v>
      </c>
      <c r="AB881" s="32">
        <f t="shared" si="408"/>
        <v>0</v>
      </c>
      <c r="AC881" s="32">
        <f t="shared" si="408"/>
        <v>106764.82</v>
      </c>
      <c r="AD881" s="32">
        <f t="shared" si="408"/>
        <v>430000</v>
      </c>
      <c r="AE881" s="32">
        <f t="shared" si="408"/>
        <v>120000</v>
      </c>
      <c r="AF881" s="77" t="s">
        <v>801</v>
      </c>
      <c r="AG881" s="77" t="s">
        <v>801</v>
      </c>
      <c r="AH881" s="107" t="s">
        <v>801</v>
      </c>
      <c r="AT881" s="21" t="e">
        <f t="shared" si="398"/>
        <v>#N/A</v>
      </c>
    </row>
    <row r="882" spans="1:46" ht="61.5" x14ac:dyDescent="0.85">
      <c r="A882" s="21">
        <v>1</v>
      </c>
      <c r="B882" s="70">
        <f>SUBTOTAL(103,$A$535:A882)</f>
        <v>297</v>
      </c>
      <c r="C882" s="25" t="s">
        <v>194</v>
      </c>
      <c r="D882" s="32">
        <f t="shared" ref="D882:D884" si="409">E882+F882+G882+H882+I882+J882+L882+N882+P882+R882+T882+U882+V882+W882+X882+Y882+Z882+AA882+AB882+AC882+AD882+AE882</f>
        <v>3549600</v>
      </c>
      <c r="E882" s="32">
        <v>0</v>
      </c>
      <c r="F882" s="32">
        <v>0</v>
      </c>
      <c r="G882" s="32">
        <v>0</v>
      </c>
      <c r="H882" s="32">
        <v>0</v>
      </c>
      <c r="I882" s="32">
        <v>0</v>
      </c>
      <c r="J882" s="32">
        <v>0</v>
      </c>
      <c r="K882" s="34">
        <v>0</v>
      </c>
      <c r="L882" s="32">
        <v>0</v>
      </c>
      <c r="M882" s="32">
        <v>696</v>
      </c>
      <c r="N882" s="32">
        <v>3349359.61</v>
      </c>
      <c r="O882" s="32">
        <v>0</v>
      </c>
      <c r="P882" s="32">
        <v>0</v>
      </c>
      <c r="Q882" s="32">
        <v>0</v>
      </c>
      <c r="R882" s="32">
        <v>0</v>
      </c>
      <c r="S882" s="32">
        <v>0</v>
      </c>
      <c r="T882" s="32">
        <v>0</v>
      </c>
      <c r="U882" s="32">
        <v>0</v>
      </c>
      <c r="V882" s="32">
        <v>0</v>
      </c>
      <c r="W882" s="32">
        <v>0</v>
      </c>
      <c r="X882" s="32">
        <v>0</v>
      </c>
      <c r="Y882" s="32">
        <v>0</v>
      </c>
      <c r="Z882" s="32">
        <v>0</v>
      </c>
      <c r="AA882" s="32">
        <v>0</v>
      </c>
      <c r="AB882" s="32">
        <v>0</v>
      </c>
      <c r="AC882" s="32">
        <f t="shared" ref="AC882:AC883" si="410">ROUND(N882*1.5%,2)</f>
        <v>50240.39</v>
      </c>
      <c r="AD882" s="32">
        <v>150000</v>
      </c>
      <c r="AE882" s="32">
        <v>0</v>
      </c>
      <c r="AF882" s="35">
        <v>2021</v>
      </c>
      <c r="AG882" s="35">
        <v>2021</v>
      </c>
      <c r="AH882" s="36">
        <v>2021</v>
      </c>
      <c r="AT882" s="21" t="e">
        <f t="shared" si="398"/>
        <v>#N/A</v>
      </c>
    </row>
    <row r="883" spans="1:46" ht="61.5" x14ac:dyDescent="0.85">
      <c r="A883" s="21">
        <v>1</v>
      </c>
      <c r="B883" s="70">
        <f>SUBTOTAL(103,$A$535:A883)</f>
        <v>298</v>
      </c>
      <c r="C883" s="25" t="s">
        <v>195</v>
      </c>
      <c r="D883" s="32">
        <f t="shared" si="409"/>
        <v>2601000</v>
      </c>
      <c r="E883" s="32">
        <v>0</v>
      </c>
      <c r="F883" s="32">
        <v>0</v>
      </c>
      <c r="G883" s="32">
        <v>0</v>
      </c>
      <c r="H883" s="32">
        <v>0</v>
      </c>
      <c r="I883" s="32">
        <v>0</v>
      </c>
      <c r="J883" s="32">
        <v>0</v>
      </c>
      <c r="K883" s="34">
        <v>0</v>
      </c>
      <c r="L883" s="32">
        <v>0</v>
      </c>
      <c r="M883" s="32">
        <v>510</v>
      </c>
      <c r="N883" s="32">
        <f>2414778.33-118226.61</f>
        <v>2296551.7200000002</v>
      </c>
      <c r="O883" s="32">
        <v>0</v>
      </c>
      <c r="P883" s="32">
        <v>0</v>
      </c>
      <c r="Q883" s="32">
        <v>0</v>
      </c>
      <c r="R883" s="32">
        <v>0</v>
      </c>
      <c r="S883" s="32">
        <v>0</v>
      </c>
      <c r="T883" s="32">
        <v>0</v>
      </c>
      <c r="U883" s="32">
        <v>0</v>
      </c>
      <c r="V883" s="32">
        <v>0</v>
      </c>
      <c r="W883" s="32">
        <v>0</v>
      </c>
      <c r="X883" s="32">
        <v>0</v>
      </c>
      <c r="Y883" s="32">
        <v>0</v>
      </c>
      <c r="Z883" s="32">
        <v>0</v>
      </c>
      <c r="AA883" s="32">
        <v>0</v>
      </c>
      <c r="AB883" s="32">
        <v>0</v>
      </c>
      <c r="AC883" s="32">
        <f t="shared" si="410"/>
        <v>34448.28</v>
      </c>
      <c r="AD883" s="32">
        <v>150000</v>
      </c>
      <c r="AE883" s="32">
        <v>120000</v>
      </c>
      <c r="AF883" s="35">
        <v>2021</v>
      </c>
      <c r="AG883" s="35">
        <v>2021</v>
      </c>
      <c r="AH883" s="36">
        <v>2021</v>
      </c>
      <c r="AT883" s="21" t="e">
        <f t="shared" si="398"/>
        <v>#N/A</v>
      </c>
    </row>
    <row r="884" spans="1:46" ht="61.5" x14ac:dyDescent="0.85">
      <c r="A884" s="21">
        <v>1</v>
      </c>
      <c r="B884" s="70">
        <f>SUBTOTAL(103,$A$535:A884)</f>
        <v>299</v>
      </c>
      <c r="C884" s="25" t="s">
        <v>196</v>
      </c>
      <c r="D884" s="32">
        <f t="shared" si="409"/>
        <v>1623819.24</v>
      </c>
      <c r="E884" s="32">
        <v>0</v>
      </c>
      <c r="F884" s="32">
        <v>0</v>
      </c>
      <c r="G884" s="32">
        <v>0</v>
      </c>
      <c r="H884" s="32">
        <v>0</v>
      </c>
      <c r="I884" s="32">
        <v>0</v>
      </c>
      <c r="J884" s="32">
        <v>0</v>
      </c>
      <c r="K884" s="34">
        <v>0</v>
      </c>
      <c r="L884" s="32">
        <v>0</v>
      </c>
      <c r="M884" s="32">
        <v>0</v>
      </c>
      <c r="N884" s="32">
        <v>0</v>
      </c>
      <c r="O884" s="32">
        <v>0</v>
      </c>
      <c r="P884" s="32">
        <v>0</v>
      </c>
      <c r="Q884" s="32">
        <v>531</v>
      </c>
      <c r="R884" s="32">
        <v>1471743.09</v>
      </c>
      <c r="S884" s="32">
        <v>0</v>
      </c>
      <c r="T884" s="32">
        <v>0</v>
      </c>
      <c r="U884" s="32">
        <v>0</v>
      </c>
      <c r="V884" s="32">
        <v>0</v>
      </c>
      <c r="W884" s="32">
        <v>0</v>
      </c>
      <c r="X884" s="32">
        <v>0</v>
      </c>
      <c r="Y884" s="32">
        <v>0</v>
      </c>
      <c r="Z884" s="32">
        <v>0</v>
      </c>
      <c r="AA884" s="32">
        <v>0</v>
      </c>
      <c r="AB884" s="32">
        <v>0</v>
      </c>
      <c r="AC884" s="32">
        <f t="shared" ref="AC884" si="411">ROUND(R884*1.5%,2)</f>
        <v>22076.15</v>
      </c>
      <c r="AD884" s="32">
        <v>130000</v>
      </c>
      <c r="AE884" s="32">
        <v>0</v>
      </c>
      <c r="AF884" s="35">
        <v>2021</v>
      </c>
      <c r="AG884" s="35">
        <v>2021</v>
      </c>
      <c r="AH884" s="36">
        <v>2021</v>
      </c>
      <c r="AT884" s="21" t="e">
        <f t="shared" si="398"/>
        <v>#N/A</v>
      </c>
    </row>
    <row r="885" spans="1:46" ht="61.5" x14ac:dyDescent="0.85">
      <c r="B885" s="25" t="s">
        <v>912</v>
      </c>
      <c r="C885" s="25"/>
      <c r="D885" s="32">
        <f>D886</f>
        <v>4275483</v>
      </c>
      <c r="E885" s="32">
        <f t="shared" ref="E885:AE885" si="412">E886</f>
        <v>0</v>
      </c>
      <c r="F885" s="32">
        <f t="shared" si="412"/>
        <v>0</v>
      </c>
      <c r="G885" s="32">
        <f t="shared" si="412"/>
        <v>0</v>
      </c>
      <c r="H885" s="32">
        <f t="shared" si="412"/>
        <v>0</v>
      </c>
      <c r="I885" s="32">
        <f t="shared" si="412"/>
        <v>0</v>
      </c>
      <c r="J885" s="32">
        <f t="shared" si="412"/>
        <v>0</v>
      </c>
      <c r="K885" s="34">
        <f t="shared" si="412"/>
        <v>0</v>
      </c>
      <c r="L885" s="32">
        <f t="shared" si="412"/>
        <v>0</v>
      </c>
      <c r="M885" s="32">
        <f t="shared" si="412"/>
        <v>838.33</v>
      </c>
      <c r="N885" s="32">
        <f t="shared" si="412"/>
        <v>4064515.27</v>
      </c>
      <c r="O885" s="32">
        <f t="shared" si="412"/>
        <v>0</v>
      </c>
      <c r="P885" s="32">
        <f t="shared" si="412"/>
        <v>0</v>
      </c>
      <c r="Q885" s="32">
        <f t="shared" si="412"/>
        <v>0</v>
      </c>
      <c r="R885" s="32">
        <f t="shared" si="412"/>
        <v>0</v>
      </c>
      <c r="S885" s="32">
        <f t="shared" si="412"/>
        <v>0</v>
      </c>
      <c r="T885" s="32">
        <f t="shared" si="412"/>
        <v>0</v>
      </c>
      <c r="U885" s="32">
        <f t="shared" si="412"/>
        <v>0</v>
      </c>
      <c r="V885" s="32">
        <f t="shared" si="412"/>
        <v>0</v>
      </c>
      <c r="W885" s="32">
        <f t="shared" si="412"/>
        <v>0</v>
      </c>
      <c r="X885" s="32">
        <f t="shared" si="412"/>
        <v>0</v>
      </c>
      <c r="Y885" s="32">
        <f t="shared" si="412"/>
        <v>0</v>
      </c>
      <c r="Z885" s="32">
        <f t="shared" si="412"/>
        <v>0</v>
      </c>
      <c r="AA885" s="32">
        <f t="shared" si="412"/>
        <v>0</v>
      </c>
      <c r="AB885" s="32">
        <f t="shared" si="412"/>
        <v>0</v>
      </c>
      <c r="AC885" s="32">
        <f t="shared" si="412"/>
        <v>60967.73</v>
      </c>
      <c r="AD885" s="32">
        <f t="shared" si="412"/>
        <v>150000</v>
      </c>
      <c r="AE885" s="32">
        <f t="shared" si="412"/>
        <v>0</v>
      </c>
      <c r="AF885" s="77" t="s">
        <v>801</v>
      </c>
      <c r="AG885" s="77" t="s">
        <v>801</v>
      </c>
      <c r="AH885" s="107" t="s">
        <v>801</v>
      </c>
      <c r="AT885" s="21" t="e">
        <f t="shared" si="398"/>
        <v>#N/A</v>
      </c>
    </row>
    <row r="886" spans="1:46" ht="61.5" x14ac:dyDescent="0.85">
      <c r="A886" s="21">
        <v>1</v>
      </c>
      <c r="B886" s="70">
        <f>SUBTOTAL(103,$A$535:A886)</f>
        <v>300</v>
      </c>
      <c r="C886" s="25" t="s">
        <v>198</v>
      </c>
      <c r="D886" s="32">
        <f t="shared" ref="D886" si="413">E886+F886+G886+H886+I886+J886+L886+N886+P886+R886+T886+U886+V886+W886+X886+Y886+Z886+AA886+AB886+AC886+AD886+AE886</f>
        <v>4275483</v>
      </c>
      <c r="E886" s="32">
        <v>0</v>
      </c>
      <c r="F886" s="32">
        <v>0</v>
      </c>
      <c r="G886" s="32">
        <v>0</v>
      </c>
      <c r="H886" s="32">
        <v>0</v>
      </c>
      <c r="I886" s="32">
        <v>0</v>
      </c>
      <c r="J886" s="32">
        <v>0</v>
      </c>
      <c r="K886" s="34">
        <v>0</v>
      </c>
      <c r="L886" s="32">
        <v>0</v>
      </c>
      <c r="M886" s="32">
        <v>838.33</v>
      </c>
      <c r="N886" s="32">
        <v>4064515.27</v>
      </c>
      <c r="O886" s="32">
        <v>0</v>
      </c>
      <c r="P886" s="32">
        <v>0</v>
      </c>
      <c r="Q886" s="32">
        <v>0</v>
      </c>
      <c r="R886" s="32">
        <v>0</v>
      </c>
      <c r="S886" s="32">
        <v>0</v>
      </c>
      <c r="T886" s="32">
        <v>0</v>
      </c>
      <c r="U886" s="32">
        <v>0</v>
      </c>
      <c r="V886" s="32">
        <v>0</v>
      </c>
      <c r="W886" s="32">
        <v>0</v>
      </c>
      <c r="X886" s="32">
        <v>0</v>
      </c>
      <c r="Y886" s="32">
        <v>0</v>
      </c>
      <c r="Z886" s="32">
        <v>0</v>
      </c>
      <c r="AA886" s="32">
        <v>0</v>
      </c>
      <c r="AB886" s="32">
        <v>0</v>
      </c>
      <c r="AC886" s="32">
        <f>ROUND(N886*1.5%,2)</f>
        <v>60967.73</v>
      </c>
      <c r="AD886" s="32">
        <v>150000</v>
      </c>
      <c r="AE886" s="32">
        <v>0</v>
      </c>
      <c r="AF886" s="35">
        <v>2021</v>
      </c>
      <c r="AG886" s="35">
        <v>2021</v>
      </c>
      <c r="AH886" s="36">
        <v>2021</v>
      </c>
      <c r="AT886" s="21" t="e">
        <f t="shared" si="398"/>
        <v>#N/A</v>
      </c>
    </row>
    <row r="887" spans="1:46" ht="61.5" x14ac:dyDescent="0.85">
      <c r="B887" s="25" t="s">
        <v>914</v>
      </c>
      <c r="C887" s="110"/>
      <c r="D887" s="32">
        <f>D888+D889</f>
        <v>9113700</v>
      </c>
      <c r="E887" s="32">
        <f t="shared" ref="E887:AE887" si="414">E888+E889</f>
        <v>0</v>
      </c>
      <c r="F887" s="32">
        <f t="shared" si="414"/>
        <v>0</v>
      </c>
      <c r="G887" s="32">
        <f t="shared" si="414"/>
        <v>0</v>
      </c>
      <c r="H887" s="32">
        <f t="shared" si="414"/>
        <v>0</v>
      </c>
      <c r="I887" s="32">
        <f t="shared" si="414"/>
        <v>0</v>
      </c>
      <c r="J887" s="32">
        <f t="shared" si="414"/>
        <v>0</v>
      </c>
      <c r="K887" s="34">
        <f t="shared" si="414"/>
        <v>0</v>
      </c>
      <c r="L887" s="32">
        <f t="shared" si="414"/>
        <v>0</v>
      </c>
      <c r="M887" s="32">
        <f t="shared" si="414"/>
        <v>1787</v>
      </c>
      <c r="N887" s="32">
        <f t="shared" si="414"/>
        <v>8653891.629999999</v>
      </c>
      <c r="O887" s="32">
        <f t="shared" si="414"/>
        <v>0</v>
      </c>
      <c r="P887" s="32">
        <f t="shared" si="414"/>
        <v>0</v>
      </c>
      <c r="Q887" s="32">
        <f t="shared" si="414"/>
        <v>0</v>
      </c>
      <c r="R887" s="32">
        <f t="shared" si="414"/>
        <v>0</v>
      </c>
      <c r="S887" s="32">
        <f t="shared" si="414"/>
        <v>0</v>
      </c>
      <c r="T887" s="32">
        <f t="shared" si="414"/>
        <v>0</v>
      </c>
      <c r="U887" s="32">
        <f t="shared" si="414"/>
        <v>0</v>
      </c>
      <c r="V887" s="32">
        <f t="shared" si="414"/>
        <v>0</v>
      </c>
      <c r="W887" s="32">
        <f t="shared" si="414"/>
        <v>0</v>
      </c>
      <c r="X887" s="32">
        <f t="shared" si="414"/>
        <v>0</v>
      </c>
      <c r="Y887" s="32">
        <f t="shared" si="414"/>
        <v>0</v>
      </c>
      <c r="Z887" s="32">
        <f t="shared" si="414"/>
        <v>0</v>
      </c>
      <c r="AA887" s="32">
        <f t="shared" si="414"/>
        <v>0</v>
      </c>
      <c r="AB887" s="32">
        <f t="shared" si="414"/>
        <v>0</v>
      </c>
      <c r="AC887" s="32">
        <f t="shared" si="414"/>
        <v>129808.37</v>
      </c>
      <c r="AD887" s="32">
        <f t="shared" si="414"/>
        <v>330000</v>
      </c>
      <c r="AE887" s="32">
        <f t="shared" si="414"/>
        <v>0</v>
      </c>
      <c r="AF887" s="77" t="s">
        <v>801</v>
      </c>
      <c r="AG887" s="77" t="s">
        <v>801</v>
      </c>
      <c r="AH887" s="107" t="s">
        <v>801</v>
      </c>
      <c r="AT887" s="21" t="e">
        <f t="shared" si="398"/>
        <v>#N/A</v>
      </c>
    </row>
    <row r="888" spans="1:46" ht="61.5" x14ac:dyDescent="0.85">
      <c r="A888" s="21">
        <v>1</v>
      </c>
      <c r="B888" s="70">
        <f>SUBTOTAL(103,$A$535:A888)</f>
        <v>301</v>
      </c>
      <c r="C888" s="25" t="s">
        <v>217</v>
      </c>
      <c r="D888" s="32">
        <f t="shared" ref="D888:D889" si="415">E888+F888+G888+H888+I888+J888+L888+N888+P888+R888+T888+U888+V888+W888+X888+Y888+Z888+AA888+AB888+AC888+AD888+AE888</f>
        <v>6135300</v>
      </c>
      <c r="E888" s="32">
        <v>0</v>
      </c>
      <c r="F888" s="32">
        <v>0</v>
      </c>
      <c r="G888" s="32">
        <v>0</v>
      </c>
      <c r="H888" s="32">
        <v>0</v>
      </c>
      <c r="I888" s="32">
        <v>0</v>
      </c>
      <c r="J888" s="32">
        <v>0</v>
      </c>
      <c r="K888" s="34">
        <v>0</v>
      </c>
      <c r="L888" s="32">
        <v>0</v>
      </c>
      <c r="M888" s="32">
        <v>1203</v>
      </c>
      <c r="N888" s="32">
        <v>5867290.6399999997</v>
      </c>
      <c r="O888" s="32">
        <v>0</v>
      </c>
      <c r="P888" s="32">
        <v>0</v>
      </c>
      <c r="Q888" s="32">
        <v>0</v>
      </c>
      <c r="R888" s="32">
        <v>0</v>
      </c>
      <c r="S888" s="32">
        <v>0</v>
      </c>
      <c r="T888" s="32">
        <v>0</v>
      </c>
      <c r="U888" s="32">
        <v>0</v>
      </c>
      <c r="V888" s="32">
        <v>0</v>
      </c>
      <c r="W888" s="32">
        <v>0</v>
      </c>
      <c r="X888" s="32">
        <v>0</v>
      </c>
      <c r="Y888" s="32">
        <v>0</v>
      </c>
      <c r="Z888" s="32">
        <v>0</v>
      </c>
      <c r="AA888" s="32">
        <v>0</v>
      </c>
      <c r="AB888" s="32">
        <v>0</v>
      </c>
      <c r="AC888" s="32">
        <f t="shared" ref="AC888:AC889" si="416">ROUND(N888*1.5%,2)</f>
        <v>88009.36</v>
      </c>
      <c r="AD888" s="32">
        <v>180000</v>
      </c>
      <c r="AE888" s="32">
        <v>0</v>
      </c>
      <c r="AF888" s="35">
        <v>2021</v>
      </c>
      <c r="AG888" s="35">
        <v>2021</v>
      </c>
      <c r="AH888" s="36">
        <v>2021</v>
      </c>
      <c r="AT888" s="21" t="e">
        <f t="shared" si="398"/>
        <v>#N/A</v>
      </c>
    </row>
    <row r="889" spans="1:46" ht="61.5" x14ac:dyDescent="0.85">
      <c r="A889" s="21">
        <v>1</v>
      </c>
      <c r="B889" s="70">
        <f>SUBTOTAL(103,$A$535:A889)</f>
        <v>302</v>
      </c>
      <c r="C889" s="25" t="s">
        <v>218</v>
      </c>
      <c r="D889" s="32">
        <f t="shared" si="415"/>
        <v>2978400</v>
      </c>
      <c r="E889" s="32">
        <v>0</v>
      </c>
      <c r="F889" s="32">
        <v>0</v>
      </c>
      <c r="G889" s="32">
        <v>0</v>
      </c>
      <c r="H889" s="32">
        <v>0</v>
      </c>
      <c r="I889" s="32">
        <v>0</v>
      </c>
      <c r="J889" s="32">
        <v>0</v>
      </c>
      <c r="K889" s="34">
        <v>0</v>
      </c>
      <c r="L889" s="32">
        <v>0</v>
      </c>
      <c r="M889" s="32">
        <v>584</v>
      </c>
      <c r="N889" s="32">
        <v>2786600.99</v>
      </c>
      <c r="O889" s="32">
        <v>0</v>
      </c>
      <c r="P889" s="32">
        <v>0</v>
      </c>
      <c r="Q889" s="32">
        <v>0</v>
      </c>
      <c r="R889" s="32">
        <v>0</v>
      </c>
      <c r="S889" s="32">
        <v>0</v>
      </c>
      <c r="T889" s="32">
        <v>0</v>
      </c>
      <c r="U889" s="32">
        <v>0</v>
      </c>
      <c r="V889" s="32">
        <v>0</v>
      </c>
      <c r="W889" s="32">
        <v>0</v>
      </c>
      <c r="X889" s="32">
        <v>0</v>
      </c>
      <c r="Y889" s="32">
        <v>0</v>
      </c>
      <c r="Z889" s="32">
        <v>0</v>
      </c>
      <c r="AA889" s="32">
        <v>0</v>
      </c>
      <c r="AB889" s="32">
        <v>0</v>
      </c>
      <c r="AC889" s="32">
        <f t="shared" si="416"/>
        <v>41799.01</v>
      </c>
      <c r="AD889" s="32">
        <v>150000</v>
      </c>
      <c r="AE889" s="32">
        <v>0</v>
      </c>
      <c r="AF889" s="35">
        <v>2021</v>
      </c>
      <c r="AG889" s="35">
        <v>2021</v>
      </c>
      <c r="AH889" s="36">
        <v>2021</v>
      </c>
      <c r="AT889" s="21" t="e">
        <f t="shared" si="398"/>
        <v>#N/A</v>
      </c>
    </row>
    <row r="890" spans="1:46" ht="61.5" x14ac:dyDescent="0.85">
      <c r="B890" s="25" t="s">
        <v>915</v>
      </c>
      <c r="C890" s="25"/>
      <c r="D890" s="32">
        <f>D891</f>
        <v>3498600</v>
      </c>
      <c r="E890" s="32">
        <f t="shared" ref="E890:AE890" si="417">E891</f>
        <v>0</v>
      </c>
      <c r="F890" s="32">
        <f t="shared" si="417"/>
        <v>0</v>
      </c>
      <c r="G890" s="32">
        <f t="shared" si="417"/>
        <v>0</v>
      </c>
      <c r="H890" s="32">
        <f t="shared" si="417"/>
        <v>0</v>
      </c>
      <c r="I890" s="32">
        <f t="shared" si="417"/>
        <v>0</v>
      </c>
      <c r="J890" s="32">
        <f t="shared" si="417"/>
        <v>0</v>
      </c>
      <c r="K890" s="34">
        <f t="shared" si="417"/>
        <v>0</v>
      </c>
      <c r="L890" s="32">
        <f t="shared" si="417"/>
        <v>0</v>
      </c>
      <c r="M890" s="32">
        <f t="shared" si="417"/>
        <v>686</v>
      </c>
      <c r="N890" s="32">
        <f t="shared" si="417"/>
        <v>3299113.3</v>
      </c>
      <c r="O890" s="32">
        <f t="shared" si="417"/>
        <v>0</v>
      </c>
      <c r="P890" s="32">
        <f t="shared" si="417"/>
        <v>0</v>
      </c>
      <c r="Q890" s="32">
        <f t="shared" si="417"/>
        <v>0</v>
      </c>
      <c r="R890" s="32">
        <f t="shared" si="417"/>
        <v>0</v>
      </c>
      <c r="S890" s="32">
        <f t="shared" si="417"/>
        <v>0</v>
      </c>
      <c r="T890" s="32">
        <f t="shared" si="417"/>
        <v>0</v>
      </c>
      <c r="U890" s="32">
        <f t="shared" si="417"/>
        <v>0</v>
      </c>
      <c r="V890" s="32">
        <f t="shared" si="417"/>
        <v>0</v>
      </c>
      <c r="W890" s="32">
        <f t="shared" si="417"/>
        <v>0</v>
      </c>
      <c r="X890" s="32">
        <f t="shared" si="417"/>
        <v>0</v>
      </c>
      <c r="Y890" s="32">
        <f t="shared" si="417"/>
        <v>0</v>
      </c>
      <c r="Z890" s="32">
        <f t="shared" si="417"/>
        <v>0</v>
      </c>
      <c r="AA890" s="32">
        <f t="shared" si="417"/>
        <v>0</v>
      </c>
      <c r="AB890" s="32">
        <f t="shared" si="417"/>
        <v>0</v>
      </c>
      <c r="AC890" s="32">
        <f t="shared" si="417"/>
        <v>49486.7</v>
      </c>
      <c r="AD890" s="32">
        <f t="shared" si="417"/>
        <v>150000</v>
      </c>
      <c r="AE890" s="32">
        <f t="shared" si="417"/>
        <v>0</v>
      </c>
      <c r="AF890" s="77" t="s">
        <v>801</v>
      </c>
      <c r="AG890" s="77" t="s">
        <v>801</v>
      </c>
      <c r="AH890" s="107" t="s">
        <v>801</v>
      </c>
      <c r="AT890" s="21" t="e">
        <f t="shared" si="398"/>
        <v>#N/A</v>
      </c>
    </row>
    <row r="891" spans="1:46" ht="61.5" x14ac:dyDescent="0.85">
      <c r="A891" s="21">
        <v>1</v>
      </c>
      <c r="B891" s="70">
        <f>SUBTOTAL(103,$A$535:A891)</f>
        <v>303</v>
      </c>
      <c r="C891" s="25" t="s">
        <v>230</v>
      </c>
      <c r="D891" s="32">
        <f t="shared" ref="D891" si="418">E891+F891+G891+H891+I891+J891+L891+N891+P891+R891+T891+U891+V891+W891+X891+Y891+Z891+AA891+AB891+AC891+AD891+AE891</f>
        <v>3498600</v>
      </c>
      <c r="E891" s="32">
        <v>0</v>
      </c>
      <c r="F891" s="32">
        <v>0</v>
      </c>
      <c r="G891" s="32">
        <v>0</v>
      </c>
      <c r="H891" s="32">
        <v>0</v>
      </c>
      <c r="I891" s="32">
        <v>0</v>
      </c>
      <c r="J891" s="32">
        <v>0</v>
      </c>
      <c r="K891" s="34">
        <v>0</v>
      </c>
      <c r="L891" s="32">
        <v>0</v>
      </c>
      <c r="M891" s="32">
        <v>686</v>
      </c>
      <c r="N891" s="32">
        <v>3299113.3</v>
      </c>
      <c r="O891" s="32">
        <v>0</v>
      </c>
      <c r="P891" s="32">
        <v>0</v>
      </c>
      <c r="Q891" s="32">
        <v>0</v>
      </c>
      <c r="R891" s="32">
        <v>0</v>
      </c>
      <c r="S891" s="32">
        <v>0</v>
      </c>
      <c r="T891" s="32">
        <v>0</v>
      </c>
      <c r="U891" s="32">
        <v>0</v>
      </c>
      <c r="V891" s="32">
        <v>0</v>
      </c>
      <c r="W891" s="32">
        <v>0</v>
      </c>
      <c r="X891" s="32">
        <v>0</v>
      </c>
      <c r="Y891" s="32">
        <v>0</v>
      </c>
      <c r="Z891" s="32">
        <v>0</v>
      </c>
      <c r="AA891" s="32">
        <v>0</v>
      </c>
      <c r="AB891" s="32">
        <v>0</v>
      </c>
      <c r="AC891" s="32">
        <f>ROUND(N891*1.5%,2)</f>
        <v>49486.7</v>
      </c>
      <c r="AD891" s="32">
        <v>150000</v>
      </c>
      <c r="AE891" s="32">
        <v>0</v>
      </c>
      <c r="AF891" s="35">
        <v>2021</v>
      </c>
      <c r="AG891" s="35">
        <v>2021</v>
      </c>
      <c r="AH891" s="36">
        <v>2021</v>
      </c>
      <c r="AT891" s="21" t="e">
        <f t="shared" si="398"/>
        <v>#N/A</v>
      </c>
    </row>
    <row r="892" spans="1:46" ht="61.5" x14ac:dyDescent="0.85">
      <c r="B892" s="25" t="s">
        <v>917</v>
      </c>
      <c r="C892" s="25"/>
      <c r="D892" s="32">
        <f>D893</f>
        <v>3230340</v>
      </c>
      <c r="E892" s="32">
        <f t="shared" ref="E892:AE892" si="419">E893</f>
        <v>0</v>
      </c>
      <c r="F892" s="32">
        <f t="shared" si="419"/>
        <v>0</v>
      </c>
      <c r="G892" s="32">
        <f t="shared" si="419"/>
        <v>0</v>
      </c>
      <c r="H892" s="32">
        <f t="shared" si="419"/>
        <v>0</v>
      </c>
      <c r="I892" s="32">
        <f t="shared" si="419"/>
        <v>0</v>
      </c>
      <c r="J892" s="32">
        <f t="shared" si="419"/>
        <v>0</v>
      </c>
      <c r="K892" s="34">
        <f t="shared" si="419"/>
        <v>0</v>
      </c>
      <c r="L892" s="32">
        <f t="shared" si="419"/>
        <v>0</v>
      </c>
      <c r="M892" s="32">
        <f t="shared" si="419"/>
        <v>633.4</v>
      </c>
      <c r="N892" s="32">
        <f t="shared" si="419"/>
        <v>3034817.73</v>
      </c>
      <c r="O892" s="32">
        <f t="shared" si="419"/>
        <v>0</v>
      </c>
      <c r="P892" s="32">
        <f t="shared" si="419"/>
        <v>0</v>
      </c>
      <c r="Q892" s="32">
        <f t="shared" si="419"/>
        <v>0</v>
      </c>
      <c r="R892" s="32">
        <f t="shared" si="419"/>
        <v>0</v>
      </c>
      <c r="S892" s="32">
        <f t="shared" si="419"/>
        <v>0</v>
      </c>
      <c r="T892" s="32">
        <f t="shared" si="419"/>
        <v>0</v>
      </c>
      <c r="U892" s="32">
        <f t="shared" si="419"/>
        <v>0</v>
      </c>
      <c r="V892" s="32">
        <f t="shared" si="419"/>
        <v>0</v>
      </c>
      <c r="W892" s="32">
        <f t="shared" si="419"/>
        <v>0</v>
      </c>
      <c r="X892" s="32">
        <f t="shared" si="419"/>
        <v>0</v>
      </c>
      <c r="Y892" s="32">
        <f t="shared" si="419"/>
        <v>0</v>
      </c>
      <c r="Z892" s="32">
        <f t="shared" si="419"/>
        <v>0</v>
      </c>
      <c r="AA892" s="32">
        <f t="shared" si="419"/>
        <v>0</v>
      </c>
      <c r="AB892" s="32">
        <f t="shared" si="419"/>
        <v>0</v>
      </c>
      <c r="AC892" s="32">
        <f t="shared" si="419"/>
        <v>45522.27</v>
      </c>
      <c r="AD892" s="32">
        <f t="shared" si="419"/>
        <v>150000</v>
      </c>
      <c r="AE892" s="32">
        <f t="shared" si="419"/>
        <v>0</v>
      </c>
      <c r="AF892" s="77" t="s">
        <v>801</v>
      </c>
      <c r="AG892" s="77" t="s">
        <v>801</v>
      </c>
      <c r="AH892" s="107" t="s">
        <v>801</v>
      </c>
      <c r="AT892" s="21" t="e">
        <f t="shared" si="398"/>
        <v>#N/A</v>
      </c>
    </row>
    <row r="893" spans="1:46" ht="61.5" x14ac:dyDescent="0.85">
      <c r="A893" s="21">
        <v>1</v>
      </c>
      <c r="B893" s="70">
        <f>SUBTOTAL(103,$A$535:A893)</f>
        <v>304</v>
      </c>
      <c r="C893" s="25" t="s">
        <v>224</v>
      </c>
      <c r="D893" s="32">
        <f t="shared" ref="D893" si="420">E893+F893+G893+H893+I893+J893+L893+N893+P893+R893+T893+U893+V893+W893+X893+Y893+Z893+AA893+AB893+AC893+AD893+AE893</f>
        <v>3230340</v>
      </c>
      <c r="E893" s="32">
        <v>0</v>
      </c>
      <c r="F893" s="32">
        <v>0</v>
      </c>
      <c r="G893" s="32">
        <v>0</v>
      </c>
      <c r="H893" s="32">
        <v>0</v>
      </c>
      <c r="I893" s="32">
        <v>0</v>
      </c>
      <c r="J893" s="32">
        <v>0</v>
      </c>
      <c r="K893" s="34">
        <v>0</v>
      </c>
      <c r="L893" s="32">
        <v>0</v>
      </c>
      <c r="M893" s="32">
        <v>633.4</v>
      </c>
      <c r="N893" s="32">
        <v>3034817.73</v>
      </c>
      <c r="O893" s="32">
        <v>0</v>
      </c>
      <c r="P893" s="32">
        <v>0</v>
      </c>
      <c r="Q893" s="32">
        <v>0</v>
      </c>
      <c r="R893" s="32">
        <v>0</v>
      </c>
      <c r="S893" s="32">
        <v>0</v>
      </c>
      <c r="T893" s="32">
        <v>0</v>
      </c>
      <c r="U893" s="32">
        <v>0</v>
      </c>
      <c r="V893" s="32">
        <v>0</v>
      </c>
      <c r="W893" s="32">
        <v>0</v>
      </c>
      <c r="X893" s="32">
        <v>0</v>
      </c>
      <c r="Y893" s="32">
        <v>0</v>
      </c>
      <c r="Z893" s="32">
        <v>0</v>
      </c>
      <c r="AA893" s="32">
        <v>0</v>
      </c>
      <c r="AB893" s="32">
        <v>0</v>
      </c>
      <c r="AC893" s="32">
        <f>ROUND(N893*1.5%,2)</f>
        <v>45522.27</v>
      </c>
      <c r="AD893" s="32">
        <v>150000</v>
      </c>
      <c r="AE893" s="32">
        <v>0</v>
      </c>
      <c r="AF893" s="35">
        <v>2021</v>
      </c>
      <c r="AG893" s="35">
        <v>2021</v>
      </c>
      <c r="AH893" s="36">
        <v>2021</v>
      </c>
      <c r="AT893" s="21" t="e">
        <f t="shared" si="398"/>
        <v>#N/A</v>
      </c>
    </row>
    <row r="894" spans="1:46" ht="61.5" x14ac:dyDescent="0.85">
      <c r="B894" s="25" t="s">
        <v>805</v>
      </c>
      <c r="C894" s="80"/>
      <c r="D894" s="32">
        <f t="shared" ref="D894:AE894" si="421">D895+D954+D969+D997+D1009+D1012+D1021+D1025+D1028+D1031+D1033+D1035+D1038+D1040+D1042+D1050+D1053+D1055+D1057+D1059+D1061+D1064+D1066+D1068+D1070+D1077+D1080+D1084+D1087+D1089+D1093+D1095+D1097+D1099+D1101+D1103+D1105+D1109+D1111+D1113+D1115+D1119+D1121+D1123+D1125+D1128+D1131+D1135+D1140+D1143+D1145+D1147+D1150+D1154+D1156+D1158+D1160+D1164</f>
        <v>791835849.29999995</v>
      </c>
      <c r="E894" s="32">
        <f t="shared" si="421"/>
        <v>1441882.4200000002</v>
      </c>
      <c r="F894" s="32">
        <f t="shared" si="421"/>
        <v>2254171.34</v>
      </c>
      <c r="G894" s="32">
        <f t="shared" si="421"/>
        <v>10976801.210000001</v>
      </c>
      <c r="H894" s="32">
        <f t="shared" si="421"/>
        <v>2754103.8600000003</v>
      </c>
      <c r="I894" s="32">
        <f t="shared" si="421"/>
        <v>7109417.5</v>
      </c>
      <c r="J894" s="32">
        <f t="shared" si="421"/>
        <v>0</v>
      </c>
      <c r="K894" s="34">
        <f t="shared" si="421"/>
        <v>21</v>
      </c>
      <c r="L894" s="32">
        <f t="shared" si="421"/>
        <v>44804557.730000004</v>
      </c>
      <c r="M894" s="32">
        <f t="shared" si="421"/>
        <v>132895.71569241001</v>
      </c>
      <c r="N894" s="32">
        <f t="shared" si="421"/>
        <v>618733896.59999979</v>
      </c>
      <c r="O894" s="32">
        <f t="shared" si="421"/>
        <v>146</v>
      </c>
      <c r="P894" s="32">
        <f t="shared" si="421"/>
        <v>365939.61</v>
      </c>
      <c r="Q894" s="32">
        <f t="shared" si="421"/>
        <v>18346.36</v>
      </c>
      <c r="R894" s="32">
        <f t="shared" si="421"/>
        <v>57601247.29999999</v>
      </c>
      <c r="S894" s="32">
        <f t="shared" si="421"/>
        <v>476.77</v>
      </c>
      <c r="T894" s="32">
        <f t="shared" si="421"/>
        <v>17157901.16</v>
      </c>
      <c r="U894" s="32">
        <f t="shared" si="421"/>
        <v>0</v>
      </c>
      <c r="V894" s="32">
        <f t="shared" si="421"/>
        <v>0</v>
      </c>
      <c r="W894" s="32">
        <f t="shared" si="421"/>
        <v>0</v>
      </c>
      <c r="X894" s="32">
        <f t="shared" si="421"/>
        <v>0</v>
      </c>
      <c r="Y894" s="32">
        <f t="shared" si="421"/>
        <v>0</v>
      </c>
      <c r="Z894" s="32">
        <f t="shared" si="421"/>
        <v>0</v>
      </c>
      <c r="AA894" s="32">
        <f t="shared" si="421"/>
        <v>0</v>
      </c>
      <c r="AB894" s="32">
        <f t="shared" si="421"/>
        <v>0</v>
      </c>
      <c r="AC894" s="32">
        <f t="shared" si="421"/>
        <v>10775930.569999998</v>
      </c>
      <c r="AD894" s="32">
        <f t="shared" si="421"/>
        <v>17620000</v>
      </c>
      <c r="AE894" s="32">
        <f t="shared" si="421"/>
        <v>240000</v>
      </c>
      <c r="AF894" s="77" t="s">
        <v>801</v>
      </c>
      <c r="AG894" s="77" t="s">
        <v>801</v>
      </c>
      <c r="AH894" s="107" t="s">
        <v>801</v>
      </c>
      <c r="AT894" s="21" t="e">
        <f t="shared" si="398"/>
        <v>#N/A</v>
      </c>
    </row>
    <row r="895" spans="1:46" ht="61.5" x14ac:dyDescent="0.85">
      <c r="B895" s="25" t="s">
        <v>1170</v>
      </c>
      <c r="C895" s="110"/>
      <c r="D895" s="32">
        <f t="shared" ref="D895:AE895" si="422">SUM(D896:D953)</f>
        <v>216853215.33000001</v>
      </c>
      <c r="E895" s="32">
        <f t="shared" si="422"/>
        <v>0</v>
      </c>
      <c r="F895" s="32">
        <f t="shared" si="422"/>
        <v>0</v>
      </c>
      <c r="G895" s="32">
        <f t="shared" si="422"/>
        <v>0</v>
      </c>
      <c r="H895" s="32">
        <f t="shared" si="422"/>
        <v>0</v>
      </c>
      <c r="I895" s="32">
        <f t="shared" si="422"/>
        <v>0</v>
      </c>
      <c r="J895" s="32">
        <f t="shared" si="422"/>
        <v>0</v>
      </c>
      <c r="K895" s="34">
        <f t="shared" si="422"/>
        <v>8</v>
      </c>
      <c r="L895" s="32">
        <f t="shared" si="422"/>
        <v>16991892.609999999</v>
      </c>
      <c r="M895" s="32">
        <f t="shared" si="422"/>
        <v>42246.850000000006</v>
      </c>
      <c r="N895" s="32">
        <f t="shared" si="422"/>
        <v>187071080.51999995</v>
      </c>
      <c r="O895" s="32">
        <f t="shared" si="422"/>
        <v>0</v>
      </c>
      <c r="P895" s="32">
        <f t="shared" si="422"/>
        <v>0</v>
      </c>
      <c r="Q895" s="32">
        <f t="shared" si="422"/>
        <v>2961</v>
      </c>
      <c r="R895" s="32">
        <f t="shared" si="422"/>
        <v>9836626.4299999997</v>
      </c>
      <c r="S895" s="32">
        <f t="shared" si="422"/>
        <v>0</v>
      </c>
      <c r="T895" s="32">
        <f t="shared" si="422"/>
        <v>0</v>
      </c>
      <c r="U895" s="32">
        <f t="shared" si="422"/>
        <v>0</v>
      </c>
      <c r="V895" s="32">
        <f t="shared" si="422"/>
        <v>0</v>
      </c>
      <c r="W895" s="32">
        <f t="shared" si="422"/>
        <v>0</v>
      </c>
      <c r="X895" s="32">
        <f t="shared" si="422"/>
        <v>0</v>
      </c>
      <c r="Y895" s="32">
        <f t="shared" si="422"/>
        <v>0</v>
      </c>
      <c r="Z895" s="32">
        <f t="shared" si="422"/>
        <v>0</v>
      </c>
      <c r="AA895" s="32">
        <f t="shared" si="422"/>
        <v>0</v>
      </c>
      <c r="AB895" s="32">
        <f t="shared" si="422"/>
        <v>0</v>
      </c>
      <c r="AC895" s="32">
        <f t="shared" si="422"/>
        <v>2953615.7699999996</v>
      </c>
      <c r="AD895" s="32">
        <f t="shared" si="422"/>
        <v>0</v>
      </c>
      <c r="AE895" s="32">
        <f t="shared" si="422"/>
        <v>0</v>
      </c>
      <c r="AF895" s="77" t="s">
        <v>801</v>
      </c>
      <c r="AG895" s="77" t="s">
        <v>801</v>
      </c>
      <c r="AH895" s="107" t="s">
        <v>801</v>
      </c>
      <c r="AT895" s="21" t="e">
        <f t="shared" si="398"/>
        <v>#N/A</v>
      </c>
    </row>
    <row r="896" spans="1:46" ht="61.5" x14ac:dyDescent="0.85">
      <c r="A896" s="21">
        <v>1</v>
      </c>
      <c r="B896" s="70">
        <f>SUBTOTAL(103,$A$896:A896)</f>
        <v>1</v>
      </c>
      <c r="C896" s="25" t="s">
        <v>597</v>
      </c>
      <c r="D896" s="32">
        <f t="shared" ref="D896:D953" si="423">E896+F896+G896+H896+I896+J896+L896+N896+P896+R896+T896+U896+V896+W896+X896+Y896+Z896+AA896+AB896+AC896+AD896+AE896</f>
        <v>3147713.25</v>
      </c>
      <c r="E896" s="32">
        <v>0</v>
      </c>
      <c r="F896" s="32">
        <v>0</v>
      </c>
      <c r="G896" s="32">
        <v>0</v>
      </c>
      <c r="H896" s="32">
        <v>0</v>
      </c>
      <c r="I896" s="32">
        <v>0</v>
      </c>
      <c r="J896" s="32">
        <v>0</v>
      </c>
      <c r="K896" s="34">
        <v>0</v>
      </c>
      <c r="L896" s="32">
        <v>0</v>
      </c>
      <c r="M896" s="32">
        <v>736</v>
      </c>
      <c r="N896" s="32">
        <v>3101195.32</v>
      </c>
      <c r="O896" s="32">
        <v>0</v>
      </c>
      <c r="P896" s="32">
        <v>0</v>
      </c>
      <c r="Q896" s="32">
        <v>0</v>
      </c>
      <c r="R896" s="32">
        <v>0</v>
      </c>
      <c r="S896" s="32">
        <v>0</v>
      </c>
      <c r="T896" s="32">
        <v>0</v>
      </c>
      <c r="U896" s="32">
        <v>0</v>
      </c>
      <c r="V896" s="32">
        <v>0</v>
      </c>
      <c r="W896" s="32">
        <v>0</v>
      </c>
      <c r="X896" s="32">
        <v>0</v>
      </c>
      <c r="Y896" s="32">
        <v>0</v>
      </c>
      <c r="Z896" s="32">
        <v>0</v>
      </c>
      <c r="AA896" s="32">
        <v>0</v>
      </c>
      <c r="AB896" s="32">
        <v>0</v>
      </c>
      <c r="AC896" s="32">
        <f t="shared" ref="AC896:AC919" si="424">ROUND(N896*1.5%,2)</f>
        <v>46517.93</v>
      </c>
      <c r="AD896" s="32">
        <v>0</v>
      </c>
      <c r="AE896" s="32">
        <v>0</v>
      </c>
      <c r="AF896" s="35" t="s">
        <v>275</v>
      </c>
      <c r="AG896" s="35">
        <v>2022</v>
      </c>
      <c r="AH896" s="36">
        <v>2022</v>
      </c>
      <c r="AT896" s="21" t="e">
        <f t="shared" si="398"/>
        <v>#N/A</v>
      </c>
    </row>
    <row r="897" spans="1:46" ht="61.5" x14ac:dyDescent="0.85">
      <c r="A897" s="21">
        <v>1</v>
      </c>
      <c r="B897" s="70">
        <f>SUBTOTAL(103,$A$896:A897)</f>
        <v>2</v>
      </c>
      <c r="C897" s="25" t="s">
        <v>598</v>
      </c>
      <c r="D897" s="32">
        <f t="shared" si="423"/>
        <v>1023224.5700000001</v>
      </c>
      <c r="E897" s="32">
        <v>0</v>
      </c>
      <c r="F897" s="32">
        <v>0</v>
      </c>
      <c r="G897" s="32">
        <v>0</v>
      </c>
      <c r="H897" s="32">
        <v>0</v>
      </c>
      <c r="I897" s="32">
        <v>0</v>
      </c>
      <c r="J897" s="32">
        <v>0</v>
      </c>
      <c r="K897" s="34">
        <v>0</v>
      </c>
      <c r="L897" s="32">
        <v>0</v>
      </c>
      <c r="M897" s="32">
        <v>230</v>
      </c>
      <c r="N897" s="32">
        <v>1008103.02</v>
      </c>
      <c r="O897" s="32">
        <v>0</v>
      </c>
      <c r="P897" s="32">
        <v>0</v>
      </c>
      <c r="Q897" s="32">
        <v>0</v>
      </c>
      <c r="R897" s="32">
        <v>0</v>
      </c>
      <c r="S897" s="32">
        <v>0</v>
      </c>
      <c r="T897" s="32">
        <v>0</v>
      </c>
      <c r="U897" s="32">
        <v>0</v>
      </c>
      <c r="V897" s="32">
        <v>0</v>
      </c>
      <c r="W897" s="32">
        <v>0</v>
      </c>
      <c r="X897" s="32">
        <v>0</v>
      </c>
      <c r="Y897" s="32">
        <v>0</v>
      </c>
      <c r="Z897" s="32">
        <v>0</v>
      </c>
      <c r="AA897" s="32">
        <v>0</v>
      </c>
      <c r="AB897" s="32">
        <v>0</v>
      </c>
      <c r="AC897" s="32">
        <f t="shared" si="424"/>
        <v>15121.55</v>
      </c>
      <c r="AD897" s="32">
        <v>0</v>
      </c>
      <c r="AE897" s="32">
        <v>0</v>
      </c>
      <c r="AF897" s="35" t="s">
        <v>275</v>
      </c>
      <c r="AG897" s="35">
        <v>2022</v>
      </c>
      <c r="AH897" s="36">
        <v>2022</v>
      </c>
      <c r="AT897" s="21" t="e">
        <f t="shared" si="398"/>
        <v>#N/A</v>
      </c>
    </row>
    <row r="898" spans="1:46" ht="61.5" x14ac:dyDescent="0.85">
      <c r="A898" s="21">
        <v>1</v>
      </c>
      <c r="B898" s="70">
        <f>SUBTOTAL(103,$A$896:A898)</f>
        <v>3</v>
      </c>
      <c r="C898" s="25" t="s">
        <v>1143</v>
      </c>
      <c r="D898" s="32">
        <f t="shared" si="423"/>
        <v>2100000</v>
      </c>
      <c r="E898" s="32">
        <v>0</v>
      </c>
      <c r="F898" s="32">
        <v>0</v>
      </c>
      <c r="G898" s="32">
        <v>0</v>
      </c>
      <c r="H898" s="32">
        <v>0</v>
      </c>
      <c r="I898" s="32">
        <v>0</v>
      </c>
      <c r="J898" s="32">
        <v>0</v>
      </c>
      <c r="K898" s="34">
        <v>0</v>
      </c>
      <c r="L898" s="32">
        <v>0</v>
      </c>
      <c r="M898" s="32">
        <v>412</v>
      </c>
      <c r="N898" s="32">
        <v>2068965.52</v>
      </c>
      <c r="O898" s="32">
        <v>0</v>
      </c>
      <c r="P898" s="32">
        <v>0</v>
      </c>
      <c r="Q898" s="32">
        <v>0</v>
      </c>
      <c r="R898" s="32">
        <v>0</v>
      </c>
      <c r="S898" s="32">
        <v>0</v>
      </c>
      <c r="T898" s="32">
        <v>0</v>
      </c>
      <c r="U898" s="32">
        <v>0</v>
      </c>
      <c r="V898" s="32">
        <v>0</v>
      </c>
      <c r="W898" s="32">
        <v>0</v>
      </c>
      <c r="X898" s="32">
        <v>0</v>
      </c>
      <c r="Y898" s="32">
        <v>0</v>
      </c>
      <c r="Z898" s="32">
        <v>0</v>
      </c>
      <c r="AA898" s="32">
        <v>0</v>
      </c>
      <c r="AB898" s="32">
        <v>0</v>
      </c>
      <c r="AC898" s="32">
        <f t="shared" si="424"/>
        <v>31034.48</v>
      </c>
      <c r="AD898" s="32">
        <v>0</v>
      </c>
      <c r="AE898" s="32">
        <v>0</v>
      </c>
      <c r="AF898" s="35" t="s">
        <v>275</v>
      </c>
      <c r="AG898" s="35">
        <v>2022</v>
      </c>
      <c r="AH898" s="36">
        <v>2022</v>
      </c>
      <c r="AT898" s="21" t="e">
        <f t="shared" si="398"/>
        <v>#N/A</v>
      </c>
    </row>
    <row r="899" spans="1:46" ht="61.5" x14ac:dyDescent="0.85">
      <c r="A899" s="21">
        <v>1</v>
      </c>
      <c r="B899" s="70">
        <f>SUBTOTAL(103,$A$896:A899)</f>
        <v>4</v>
      </c>
      <c r="C899" s="25" t="s">
        <v>599</v>
      </c>
      <c r="D899" s="32">
        <f t="shared" si="423"/>
        <v>3183875.94</v>
      </c>
      <c r="E899" s="32">
        <v>0</v>
      </c>
      <c r="F899" s="32">
        <v>0</v>
      </c>
      <c r="G899" s="32">
        <v>0</v>
      </c>
      <c r="H899" s="32">
        <v>0</v>
      </c>
      <c r="I899" s="32">
        <v>0</v>
      </c>
      <c r="J899" s="32">
        <v>0</v>
      </c>
      <c r="K899" s="34">
        <v>0</v>
      </c>
      <c r="L899" s="32">
        <v>0</v>
      </c>
      <c r="M899" s="32">
        <v>722</v>
      </c>
      <c r="N899" s="32">
        <v>3136823.59</v>
      </c>
      <c r="O899" s="32">
        <v>0</v>
      </c>
      <c r="P899" s="32">
        <v>0</v>
      </c>
      <c r="Q899" s="32">
        <v>0</v>
      </c>
      <c r="R899" s="32">
        <v>0</v>
      </c>
      <c r="S899" s="32">
        <v>0</v>
      </c>
      <c r="T899" s="32">
        <v>0</v>
      </c>
      <c r="U899" s="32">
        <v>0</v>
      </c>
      <c r="V899" s="32">
        <v>0</v>
      </c>
      <c r="W899" s="32">
        <v>0</v>
      </c>
      <c r="X899" s="32">
        <v>0</v>
      </c>
      <c r="Y899" s="32">
        <v>0</v>
      </c>
      <c r="Z899" s="32">
        <v>0</v>
      </c>
      <c r="AA899" s="32">
        <v>0</v>
      </c>
      <c r="AB899" s="32">
        <v>0</v>
      </c>
      <c r="AC899" s="32">
        <f t="shared" si="424"/>
        <v>47052.35</v>
      </c>
      <c r="AD899" s="32">
        <v>0</v>
      </c>
      <c r="AE899" s="32">
        <v>0</v>
      </c>
      <c r="AF899" s="35" t="s">
        <v>275</v>
      </c>
      <c r="AG899" s="35">
        <v>2022</v>
      </c>
      <c r="AH899" s="36">
        <v>2022</v>
      </c>
      <c r="AT899" s="21" t="e">
        <f t="shared" si="398"/>
        <v>#N/A</v>
      </c>
    </row>
    <row r="900" spans="1:46" ht="61.5" x14ac:dyDescent="0.85">
      <c r="A900" s="21">
        <v>1</v>
      </c>
      <c r="B900" s="70">
        <f>SUBTOTAL(103,$A$896:A900)</f>
        <v>5</v>
      </c>
      <c r="C900" s="25" t="s">
        <v>600</v>
      </c>
      <c r="D900" s="32">
        <f t="shared" si="423"/>
        <v>1598353.21</v>
      </c>
      <c r="E900" s="32">
        <v>0</v>
      </c>
      <c r="F900" s="32">
        <v>0</v>
      </c>
      <c r="G900" s="32">
        <v>0</v>
      </c>
      <c r="H900" s="32">
        <v>0</v>
      </c>
      <c r="I900" s="32">
        <v>0</v>
      </c>
      <c r="J900" s="32">
        <v>0</v>
      </c>
      <c r="K900" s="34">
        <v>0</v>
      </c>
      <c r="L900" s="32">
        <v>0</v>
      </c>
      <c r="M900" s="32">
        <v>351</v>
      </c>
      <c r="N900" s="32">
        <v>1574732.23</v>
      </c>
      <c r="O900" s="32">
        <v>0</v>
      </c>
      <c r="P900" s="32">
        <v>0</v>
      </c>
      <c r="Q900" s="32">
        <v>0</v>
      </c>
      <c r="R900" s="32">
        <v>0</v>
      </c>
      <c r="S900" s="32">
        <v>0</v>
      </c>
      <c r="T900" s="32">
        <v>0</v>
      </c>
      <c r="U900" s="32">
        <v>0</v>
      </c>
      <c r="V900" s="32">
        <v>0</v>
      </c>
      <c r="W900" s="32">
        <v>0</v>
      </c>
      <c r="X900" s="32">
        <v>0</v>
      </c>
      <c r="Y900" s="32">
        <v>0</v>
      </c>
      <c r="Z900" s="32">
        <v>0</v>
      </c>
      <c r="AA900" s="32">
        <v>0</v>
      </c>
      <c r="AB900" s="32">
        <v>0</v>
      </c>
      <c r="AC900" s="32">
        <f t="shared" si="424"/>
        <v>23620.98</v>
      </c>
      <c r="AD900" s="32">
        <v>0</v>
      </c>
      <c r="AE900" s="32">
        <v>0</v>
      </c>
      <c r="AF900" s="35" t="s">
        <v>275</v>
      </c>
      <c r="AG900" s="35">
        <v>2022</v>
      </c>
      <c r="AH900" s="36">
        <v>2022</v>
      </c>
      <c r="AT900" s="21" t="e">
        <f t="shared" si="398"/>
        <v>#N/A</v>
      </c>
    </row>
    <row r="901" spans="1:46" ht="61.5" x14ac:dyDescent="0.85">
      <c r="A901" s="21">
        <v>1</v>
      </c>
      <c r="B901" s="70">
        <f>SUBTOTAL(103,$A$896:A901)</f>
        <v>6</v>
      </c>
      <c r="C901" s="25" t="s">
        <v>601</v>
      </c>
      <c r="D901" s="32">
        <f t="shared" si="423"/>
        <v>5391207.6599999992</v>
      </c>
      <c r="E901" s="32">
        <v>0</v>
      </c>
      <c r="F901" s="32">
        <v>0</v>
      </c>
      <c r="G901" s="32">
        <v>0</v>
      </c>
      <c r="H901" s="32">
        <v>0</v>
      </c>
      <c r="I901" s="32">
        <v>0</v>
      </c>
      <c r="J901" s="32">
        <v>0</v>
      </c>
      <c r="K901" s="34">
        <v>0</v>
      </c>
      <c r="L901" s="32">
        <v>0</v>
      </c>
      <c r="M901" s="32">
        <v>1200</v>
      </c>
      <c r="N901" s="32">
        <v>5311534.6399999997</v>
      </c>
      <c r="O901" s="32">
        <v>0</v>
      </c>
      <c r="P901" s="32">
        <v>0</v>
      </c>
      <c r="Q901" s="32">
        <v>0</v>
      </c>
      <c r="R901" s="32">
        <v>0</v>
      </c>
      <c r="S901" s="32">
        <v>0</v>
      </c>
      <c r="T901" s="32">
        <v>0</v>
      </c>
      <c r="U901" s="32">
        <v>0</v>
      </c>
      <c r="V901" s="32">
        <v>0</v>
      </c>
      <c r="W901" s="32">
        <v>0</v>
      </c>
      <c r="X901" s="32">
        <v>0</v>
      </c>
      <c r="Y901" s="32">
        <v>0</v>
      </c>
      <c r="Z901" s="32">
        <v>0</v>
      </c>
      <c r="AA901" s="32">
        <v>0</v>
      </c>
      <c r="AB901" s="32">
        <v>0</v>
      </c>
      <c r="AC901" s="32">
        <f t="shared" si="424"/>
        <v>79673.02</v>
      </c>
      <c r="AD901" s="32">
        <v>0</v>
      </c>
      <c r="AE901" s="32">
        <v>0</v>
      </c>
      <c r="AF901" s="35" t="s">
        <v>275</v>
      </c>
      <c r="AG901" s="35">
        <v>2022</v>
      </c>
      <c r="AH901" s="36">
        <v>2022</v>
      </c>
      <c r="AT901" s="21" t="e">
        <f t="shared" si="398"/>
        <v>#N/A</v>
      </c>
    </row>
    <row r="902" spans="1:46" ht="61.5" x14ac:dyDescent="0.85">
      <c r="A902" s="21">
        <v>1</v>
      </c>
      <c r="B902" s="70">
        <f>SUBTOTAL(103,$A$896:A902)</f>
        <v>7</v>
      </c>
      <c r="C902" s="25" t="s">
        <v>602</v>
      </c>
      <c r="D902" s="32">
        <f t="shared" si="423"/>
        <v>1896320.0799999998</v>
      </c>
      <c r="E902" s="32">
        <v>0</v>
      </c>
      <c r="F902" s="32">
        <v>0</v>
      </c>
      <c r="G902" s="32">
        <v>0</v>
      </c>
      <c r="H902" s="32">
        <v>0</v>
      </c>
      <c r="I902" s="32">
        <v>0</v>
      </c>
      <c r="J902" s="32">
        <v>0</v>
      </c>
      <c r="K902" s="34">
        <v>0</v>
      </c>
      <c r="L902" s="32">
        <v>0</v>
      </c>
      <c r="M902" s="32">
        <v>420</v>
      </c>
      <c r="N902" s="32">
        <v>1868295.65</v>
      </c>
      <c r="O902" s="32">
        <v>0</v>
      </c>
      <c r="P902" s="32">
        <v>0</v>
      </c>
      <c r="Q902" s="32">
        <v>0</v>
      </c>
      <c r="R902" s="32">
        <v>0</v>
      </c>
      <c r="S902" s="32">
        <v>0</v>
      </c>
      <c r="T902" s="32">
        <v>0</v>
      </c>
      <c r="U902" s="32">
        <v>0</v>
      </c>
      <c r="V902" s="32">
        <v>0</v>
      </c>
      <c r="W902" s="32">
        <v>0</v>
      </c>
      <c r="X902" s="32">
        <v>0</v>
      </c>
      <c r="Y902" s="32">
        <v>0</v>
      </c>
      <c r="Z902" s="32">
        <v>0</v>
      </c>
      <c r="AA902" s="32">
        <v>0</v>
      </c>
      <c r="AB902" s="32">
        <v>0</v>
      </c>
      <c r="AC902" s="32">
        <f t="shared" si="424"/>
        <v>28024.43</v>
      </c>
      <c r="AD902" s="32">
        <v>0</v>
      </c>
      <c r="AE902" s="32">
        <v>0</v>
      </c>
      <c r="AF902" s="35" t="s">
        <v>275</v>
      </c>
      <c r="AG902" s="35">
        <v>2022</v>
      </c>
      <c r="AH902" s="36">
        <v>2022</v>
      </c>
      <c r="AT902" s="21" t="e">
        <f t="shared" si="398"/>
        <v>#N/A</v>
      </c>
    </row>
    <row r="903" spans="1:46" ht="61.5" x14ac:dyDescent="0.85">
      <c r="A903" s="21">
        <v>1</v>
      </c>
      <c r="B903" s="70">
        <f>SUBTOTAL(103,$A$896:A903)</f>
        <v>8</v>
      </c>
      <c r="C903" s="25" t="s">
        <v>603</v>
      </c>
      <c r="D903" s="32">
        <f t="shared" si="423"/>
        <v>2718609.5</v>
      </c>
      <c r="E903" s="32">
        <v>0</v>
      </c>
      <c r="F903" s="32">
        <v>0</v>
      </c>
      <c r="G903" s="32">
        <v>0</v>
      </c>
      <c r="H903" s="32">
        <v>0</v>
      </c>
      <c r="I903" s="32">
        <v>0</v>
      </c>
      <c r="J903" s="32">
        <v>0</v>
      </c>
      <c r="K903" s="34">
        <v>0</v>
      </c>
      <c r="L903" s="32">
        <v>0</v>
      </c>
      <c r="M903" s="32">
        <v>593</v>
      </c>
      <c r="N903" s="32">
        <v>2678433</v>
      </c>
      <c r="O903" s="32">
        <v>0</v>
      </c>
      <c r="P903" s="32">
        <v>0</v>
      </c>
      <c r="Q903" s="32">
        <v>0</v>
      </c>
      <c r="R903" s="32">
        <v>0</v>
      </c>
      <c r="S903" s="32">
        <v>0</v>
      </c>
      <c r="T903" s="32">
        <v>0</v>
      </c>
      <c r="U903" s="32">
        <v>0</v>
      </c>
      <c r="V903" s="32">
        <v>0</v>
      </c>
      <c r="W903" s="32">
        <v>0</v>
      </c>
      <c r="X903" s="32">
        <v>0</v>
      </c>
      <c r="Y903" s="32">
        <v>0</v>
      </c>
      <c r="Z903" s="32">
        <v>0</v>
      </c>
      <c r="AA903" s="32">
        <v>0</v>
      </c>
      <c r="AB903" s="32">
        <v>0</v>
      </c>
      <c r="AC903" s="32">
        <f t="shared" si="424"/>
        <v>40176.5</v>
      </c>
      <c r="AD903" s="32">
        <v>0</v>
      </c>
      <c r="AE903" s="32">
        <v>0</v>
      </c>
      <c r="AF903" s="35" t="s">
        <v>275</v>
      </c>
      <c r="AG903" s="35">
        <v>2022</v>
      </c>
      <c r="AH903" s="36">
        <v>2022</v>
      </c>
      <c r="AT903" s="21" t="e">
        <f t="shared" ref="AT903:AT934" si="425">VLOOKUP(C903,AW:AX,2,FALSE)</f>
        <v>#N/A</v>
      </c>
    </row>
    <row r="904" spans="1:46" ht="61.5" x14ac:dyDescent="0.85">
      <c r="A904" s="21">
        <v>1</v>
      </c>
      <c r="B904" s="70">
        <f>SUBTOTAL(103,$A$896:A904)</f>
        <v>9</v>
      </c>
      <c r="C904" s="25" t="s">
        <v>604</v>
      </c>
      <c r="D904" s="32">
        <f t="shared" si="423"/>
        <v>3653990.26</v>
      </c>
      <c r="E904" s="32">
        <v>0</v>
      </c>
      <c r="F904" s="32">
        <v>0</v>
      </c>
      <c r="G904" s="32">
        <v>0</v>
      </c>
      <c r="H904" s="32">
        <v>0</v>
      </c>
      <c r="I904" s="32">
        <v>0</v>
      </c>
      <c r="J904" s="32">
        <v>0</v>
      </c>
      <c r="K904" s="34">
        <v>0</v>
      </c>
      <c r="L904" s="32">
        <v>0</v>
      </c>
      <c r="M904" s="32">
        <v>794</v>
      </c>
      <c r="N904" s="32">
        <v>3599990.4</v>
      </c>
      <c r="O904" s="32">
        <v>0</v>
      </c>
      <c r="P904" s="32">
        <v>0</v>
      </c>
      <c r="Q904" s="32">
        <v>0</v>
      </c>
      <c r="R904" s="32">
        <v>0</v>
      </c>
      <c r="S904" s="32">
        <v>0</v>
      </c>
      <c r="T904" s="32">
        <v>0</v>
      </c>
      <c r="U904" s="32">
        <v>0</v>
      </c>
      <c r="V904" s="32">
        <v>0</v>
      </c>
      <c r="W904" s="32">
        <v>0</v>
      </c>
      <c r="X904" s="32">
        <v>0</v>
      </c>
      <c r="Y904" s="32">
        <v>0</v>
      </c>
      <c r="Z904" s="32">
        <v>0</v>
      </c>
      <c r="AA904" s="32">
        <v>0</v>
      </c>
      <c r="AB904" s="32">
        <v>0</v>
      </c>
      <c r="AC904" s="32">
        <f t="shared" si="424"/>
        <v>53999.86</v>
      </c>
      <c r="AD904" s="32">
        <v>0</v>
      </c>
      <c r="AE904" s="32">
        <v>0</v>
      </c>
      <c r="AF904" s="35" t="s">
        <v>275</v>
      </c>
      <c r="AG904" s="35">
        <v>2022</v>
      </c>
      <c r="AH904" s="36">
        <v>2022</v>
      </c>
      <c r="AT904" s="21" t="e">
        <f t="shared" si="425"/>
        <v>#N/A</v>
      </c>
    </row>
    <row r="905" spans="1:46" ht="61.5" x14ac:dyDescent="0.85">
      <c r="A905" s="21">
        <v>1</v>
      </c>
      <c r="B905" s="70">
        <f>SUBTOTAL(103,$A$896:A905)</f>
        <v>10</v>
      </c>
      <c r="C905" s="25" t="s">
        <v>605</v>
      </c>
      <c r="D905" s="32">
        <f t="shared" si="423"/>
        <v>6464995.3799999999</v>
      </c>
      <c r="E905" s="32">
        <v>0</v>
      </c>
      <c r="F905" s="32">
        <v>0</v>
      </c>
      <c r="G905" s="32">
        <v>0</v>
      </c>
      <c r="H905" s="32">
        <v>0</v>
      </c>
      <c r="I905" s="32">
        <v>0</v>
      </c>
      <c r="J905" s="32">
        <v>0</v>
      </c>
      <c r="K905" s="34">
        <v>0</v>
      </c>
      <c r="L905" s="32">
        <v>0</v>
      </c>
      <c r="M905" s="32">
        <v>1385.4</v>
      </c>
      <c r="N905" s="32">
        <v>6369453.5800000001</v>
      </c>
      <c r="O905" s="32">
        <v>0</v>
      </c>
      <c r="P905" s="32">
        <v>0</v>
      </c>
      <c r="Q905" s="32">
        <v>0</v>
      </c>
      <c r="R905" s="32">
        <v>0</v>
      </c>
      <c r="S905" s="32">
        <v>0</v>
      </c>
      <c r="T905" s="32">
        <v>0</v>
      </c>
      <c r="U905" s="32">
        <v>0</v>
      </c>
      <c r="V905" s="32">
        <v>0</v>
      </c>
      <c r="W905" s="32">
        <v>0</v>
      </c>
      <c r="X905" s="32">
        <v>0</v>
      </c>
      <c r="Y905" s="32">
        <v>0</v>
      </c>
      <c r="Z905" s="32">
        <v>0</v>
      </c>
      <c r="AA905" s="32">
        <v>0</v>
      </c>
      <c r="AB905" s="32">
        <v>0</v>
      </c>
      <c r="AC905" s="32">
        <f t="shared" si="424"/>
        <v>95541.8</v>
      </c>
      <c r="AD905" s="32">
        <v>0</v>
      </c>
      <c r="AE905" s="32">
        <v>0</v>
      </c>
      <c r="AF905" s="35" t="s">
        <v>275</v>
      </c>
      <c r="AG905" s="35">
        <v>2022</v>
      </c>
      <c r="AH905" s="36">
        <v>2022</v>
      </c>
      <c r="AT905" s="21" t="e">
        <f t="shared" si="425"/>
        <v>#N/A</v>
      </c>
    </row>
    <row r="906" spans="1:46" ht="61.5" x14ac:dyDescent="0.85">
      <c r="A906" s="21">
        <v>1</v>
      </c>
      <c r="B906" s="70">
        <f>SUBTOTAL(103,$A$896:A906)</f>
        <v>11</v>
      </c>
      <c r="C906" s="25" t="s">
        <v>606</v>
      </c>
      <c r="D906" s="32">
        <f t="shared" si="423"/>
        <v>3493332.35</v>
      </c>
      <c r="E906" s="32">
        <v>0</v>
      </c>
      <c r="F906" s="32">
        <v>0</v>
      </c>
      <c r="G906" s="32">
        <v>0</v>
      </c>
      <c r="H906" s="32">
        <v>0</v>
      </c>
      <c r="I906" s="32">
        <v>0</v>
      </c>
      <c r="J906" s="32">
        <v>0</v>
      </c>
      <c r="K906" s="34">
        <v>0</v>
      </c>
      <c r="L906" s="32">
        <v>0</v>
      </c>
      <c r="M906" s="32">
        <v>760.2</v>
      </c>
      <c r="N906" s="32">
        <v>3441706.75</v>
      </c>
      <c r="O906" s="32">
        <v>0</v>
      </c>
      <c r="P906" s="32">
        <v>0</v>
      </c>
      <c r="Q906" s="32">
        <v>0</v>
      </c>
      <c r="R906" s="32">
        <v>0</v>
      </c>
      <c r="S906" s="32">
        <v>0</v>
      </c>
      <c r="T906" s="32">
        <v>0</v>
      </c>
      <c r="U906" s="32">
        <v>0</v>
      </c>
      <c r="V906" s="32">
        <v>0</v>
      </c>
      <c r="W906" s="32">
        <v>0</v>
      </c>
      <c r="X906" s="32">
        <v>0</v>
      </c>
      <c r="Y906" s="32">
        <v>0</v>
      </c>
      <c r="Z906" s="32">
        <v>0</v>
      </c>
      <c r="AA906" s="32">
        <v>0</v>
      </c>
      <c r="AB906" s="32">
        <v>0</v>
      </c>
      <c r="AC906" s="32">
        <f t="shared" si="424"/>
        <v>51625.599999999999</v>
      </c>
      <c r="AD906" s="32">
        <v>0</v>
      </c>
      <c r="AE906" s="32">
        <v>0</v>
      </c>
      <c r="AF906" s="35" t="s">
        <v>275</v>
      </c>
      <c r="AG906" s="35">
        <v>2022</v>
      </c>
      <c r="AH906" s="36">
        <v>2022</v>
      </c>
      <c r="AT906" s="21" t="e">
        <f t="shared" si="425"/>
        <v>#N/A</v>
      </c>
    </row>
    <row r="907" spans="1:46" ht="61.5" x14ac:dyDescent="0.85">
      <c r="A907" s="21">
        <v>1</v>
      </c>
      <c r="B907" s="70">
        <f>SUBTOTAL(103,$A$896:A907)</f>
        <v>12</v>
      </c>
      <c r="C907" s="25" t="s">
        <v>607</v>
      </c>
      <c r="D907" s="32">
        <f t="shared" si="423"/>
        <v>5751539.1200000001</v>
      </c>
      <c r="E907" s="32">
        <v>0</v>
      </c>
      <c r="F907" s="32">
        <v>0</v>
      </c>
      <c r="G907" s="32">
        <v>0</v>
      </c>
      <c r="H907" s="32">
        <v>0</v>
      </c>
      <c r="I907" s="32">
        <v>0</v>
      </c>
      <c r="J907" s="32">
        <v>0</v>
      </c>
      <c r="K907" s="34">
        <v>0</v>
      </c>
      <c r="L907" s="32">
        <v>0</v>
      </c>
      <c r="M907" s="32">
        <v>1260.4000000000001</v>
      </c>
      <c r="N907" s="32">
        <v>5666541</v>
      </c>
      <c r="O907" s="32">
        <v>0</v>
      </c>
      <c r="P907" s="32">
        <v>0</v>
      </c>
      <c r="Q907" s="32">
        <v>0</v>
      </c>
      <c r="R907" s="32">
        <v>0</v>
      </c>
      <c r="S907" s="32">
        <v>0</v>
      </c>
      <c r="T907" s="32">
        <v>0</v>
      </c>
      <c r="U907" s="32">
        <v>0</v>
      </c>
      <c r="V907" s="32">
        <v>0</v>
      </c>
      <c r="W907" s="32">
        <v>0</v>
      </c>
      <c r="X907" s="32">
        <v>0</v>
      </c>
      <c r="Y907" s="32">
        <v>0</v>
      </c>
      <c r="Z907" s="32">
        <v>0</v>
      </c>
      <c r="AA907" s="32">
        <v>0</v>
      </c>
      <c r="AB907" s="32">
        <v>0</v>
      </c>
      <c r="AC907" s="32">
        <f t="shared" si="424"/>
        <v>84998.12</v>
      </c>
      <c r="AD907" s="32">
        <v>0</v>
      </c>
      <c r="AE907" s="32">
        <v>0</v>
      </c>
      <c r="AF907" s="35" t="s">
        <v>275</v>
      </c>
      <c r="AG907" s="35">
        <v>2022</v>
      </c>
      <c r="AH907" s="36">
        <v>2022</v>
      </c>
      <c r="AT907" s="21" t="e">
        <f t="shared" si="425"/>
        <v>#N/A</v>
      </c>
    </row>
    <row r="908" spans="1:46" ht="61.5" x14ac:dyDescent="0.85">
      <c r="A908" s="21">
        <v>1</v>
      </c>
      <c r="B908" s="70">
        <f>SUBTOTAL(103,$A$896:A908)</f>
        <v>13</v>
      </c>
      <c r="C908" s="25" t="s">
        <v>608</v>
      </c>
      <c r="D908" s="32">
        <f t="shared" si="423"/>
        <v>5350859.32</v>
      </c>
      <c r="E908" s="32">
        <v>0</v>
      </c>
      <c r="F908" s="32">
        <v>0</v>
      </c>
      <c r="G908" s="32">
        <v>0</v>
      </c>
      <c r="H908" s="32">
        <v>0</v>
      </c>
      <c r="I908" s="32">
        <v>0</v>
      </c>
      <c r="J908" s="32">
        <v>0</v>
      </c>
      <c r="K908" s="34">
        <v>0</v>
      </c>
      <c r="L908" s="32">
        <v>0</v>
      </c>
      <c r="M908" s="32">
        <v>1151</v>
      </c>
      <c r="N908" s="32">
        <v>5271782.58</v>
      </c>
      <c r="O908" s="32">
        <v>0</v>
      </c>
      <c r="P908" s="32">
        <v>0</v>
      </c>
      <c r="Q908" s="32">
        <v>0</v>
      </c>
      <c r="R908" s="32">
        <v>0</v>
      </c>
      <c r="S908" s="32">
        <v>0</v>
      </c>
      <c r="T908" s="32">
        <v>0</v>
      </c>
      <c r="U908" s="32">
        <v>0</v>
      </c>
      <c r="V908" s="32">
        <v>0</v>
      </c>
      <c r="W908" s="32">
        <v>0</v>
      </c>
      <c r="X908" s="32">
        <v>0</v>
      </c>
      <c r="Y908" s="32">
        <v>0</v>
      </c>
      <c r="Z908" s="32">
        <v>0</v>
      </c>
      <c r="AA908" s="32">
        <v>0</v>
      </c>
      <c r="AB908" s="32">
        <v>0</v>
      </c>
      <c r="AC908" s="32">
        <f t="shared" si="424"/>
        <v>79076.740000000005</v>
      </c>
      <c r="AD908" s="32">
        <v>0</v>
      </c>
      <c r="AE908" s="32">
        <v>0</v>
      </c>
      <c r="AF908" s="35" t="s">
        <v>275</v>
      </c>
      <c r="AG908" s="35">
        <v>2022</v>
      </c>
      <c r="AH908" s="36">
        <v>2022</v>
      </c>
      <c r="AT908" s="21" t="e">
        <f t="shared" si="425"/>
        <v>#N/A</v>
      </c>
    </row>
    <row r="909" spans="1:46" ht="61.5" x14ac:dyDescent="0.85">
      <c r="A909" s="21">
        <v>1</v>
      </c>
      <c r="B909" s="70">
        <f>SUBTOTAL(103,$A$896:A909)</f>
        <v>14</v>
      </c>
      <c r="C909" s="25" t="s">
        <v>609</v>
      </c>
      <c r="D909" s="32">
        <f t="shared" si="423"/>
        <v>2108786.08</v>
      </c>
      <c r="E909" s="32">
        <v>0</v>
      </c>
      <c r="F909" s="32">
        <v>0</v>
      </c>
      <c r="G909" s="32">
        <v>0</v>
      </c>
      <c r="H909" s="32">
        <v>0</v>
      </c>
      <c r="I909" s="32">
        <v>0</v>
      </c>
      <c r="J909" s="32">
        <v>0</v>
      </c>
      <c r="K909" s="34">
        <v>0</v>
      </c>
      <c r="L909" s="32">
        <v>0</v>
      </c>
      <c r="M909" s="32">
        <v>464.7</v>
      </c>
      <c r="N909" s="32">
        <v>2077621.75</v>
      </c>
      <c r="O909" s="32">
        <v>0</v>
      </c>
      <c r="P909" s="32">
        <v>0</v>
      </c>
      <c r="Q909" s="32">
        <v>0</v>
      </c>
      <c r="R909" s="32">
        <v>0</v>
      </c>
      <c r="S909" s="32">
        <v>0</v>
      </c>
      <c r="T909" s="32">
        <v>0</v>
      </c>
      <c r="U909" s="32">
        <v>0</v>
      </c>
      <c r="V909" s="32">
        <v>0</v>
      </c>
      <c r="W909" s="32">
        <v>0</v>
      </c>
      <c r="X909" s="32">
        <v>0</v>
      </c>
      <c r="Y909" s="32">
        <v>0</v>
      </c>
      <c r="Z909" s="32">
        <v>0</v>
      </c>
      <c r="AA909" s="32">
        <v>0</v>
      </c>
      <c r="AB909" s="32">
        <v>0</v>
      </c>
      <c r="AC909" s="32">
        <f t="shared" si="424"/>
        <v>31164.33</v>
      </c>
      <c r="AD909" s="32">
        <v>0</v>
      </c>
      <c r="AE909" s="32">
        <v>0</v>
      </c>
      <c r="AF909" s="35" t="s">
        <v>275</v>
      </c>
      <c r="AG909" s="35">
        <v>2022</v>
      </c>
      <c r="AH909" s="36">
        <v>2022</v>
      </c>
      <c r="AT909" s="21" t="e">
        <f t="shared" si="425"/>
        <v>#N/A</v>
      </c>
    </row>
    <row r="910" spans="1:46" ht="61.5" x14ac:dyDescent="0.85">
      <c r="A910" s="21">
        <v>1</v>
      </c>
      <c r="B910" s="70">
        <f>SUBTOTAL(103,$A$896:A910)</f>
        <v>15</v>
      </c>
      <c r="C910" s="25" t="s">
        <v>610</v>
      </c>
      <c r="D910" s="32">
        <f t="shared" si="423"/>
        <v>2108788.0499999998</v>
      </c>
      <c r="E910" s="32">
        <v>0</v>
      </c>
      <c r="F910" s="32">
        <v>0</v>
      </c>
      <c r="G910" s="32">
        <v>0</v>
      </c>
      <c r="H910" s="32">
        <v>0</v>
      </c>
      <c r="I910" s="32">
        <v>0</v>
      </c>
      <c r="J910" s="32">
        <v>0</v>
      </c>
      <c r="K910" s="34">
        <v>0</v>
      </c>
      <c r="L910" s="32">
        <v>0</v>
      </c>
      <c r="M910" s="32">
        <v>464.68</v>
      </c>
      <c r="N910" s="32">
        <v>2077623.69</v>
      </c>
      <c r="O910" s="32">
        <v>0</v>
      </c>
      <c r="P910" s="32">
        <v>0</v>
      </c>
      <c r="Q910" s="32">
        <v>0</v>
      </c>
      <c r="R910" s="32">
        <v>0</v>
      </c>
      <c r="S910" s="32">
        <v>0</v>
      </c>
      <c r="T910" s="32">
        <v>0</v>
      </c>
      <c r="U910" s="32">
        <v>0</v>
      </c>
      <c r="V910" s="32">
        <v>0</v>
      </c>
      <c r="W910" s="32">
        <v>0</v>
      </c>
      <c r="X910" s="32">
        <v>0</v>
      </c>
      <c r="Y910" s="32">
        <v>0</v>
      </c>
      <c r="Z910" s="32">
        <v>0</v>
      </c>
      <c r="AA910" s="32">
        <v>0</v>
      </c>
      <c r="AB910" s="32">
        <v>0</v>
      </c>
      <c r="AC910" s="32">
        <f t="shared" si="424"/>
        <v>31164.36</v>
      </c>
      <c r="AD910" s="32">
        <v>0</v>
      </c>
      <c r="AE910" s="32">
        <v>0</v>
      </c>
      <c r="AF910" s="35" t="s">
        <v>275</v>
      </c>
      <c r="AG910" s="35">
        <v>2022</v>
      </c>
      <c r="AH910" s="36">
        <v>2022</v>
      </c>
      <c r="AT910" s="21" t="e">
        <f t="shared" si="425"/>
        <v>#N/A</v>
      </c>
    </row>
    <row r="911" spans="1:46" ht="61.5" x14ac:dyDescent="0.85">
      <c r="A911" s="21">
        <v>1</v>
      </c>
      <c r="B911" s="70">
        <f>SUBTOTAL(103,$A$896:A911)</f>
        <v>16</v>
      </c>
      <c r="C911" s="25" t="s">
        <v>611</v>
      </c>
      <c r="D911" s="32">
        <f t="shared" si="423"/>
        <v>4241954.88</v>
      </c>
      <c r="E911" s="32">
        <v>0</v>
      </c>
      <c r="F911" s="32">
        <v>0</v>
      </c>
      <c r="G911" s="32">
        <v>0</v>
      </c>
      <c r="H911" s="32">
        <v>0</v>
      </c>
      <c r="I911" s="32">
        <v>0</v>
      </c>
      <c r="J911" s="32">
        <v>0</v>
      </c>
      <c r="K911" s="34">
        <v>0</v>
      </c>
      <c r="L911" s="32">
        <v>0</v>
      </c>
      <c r="M911" s="32">
        <v>917.7</v>
      </c>
      <c r="N911" s="32">
        <v>4179265.89</v>
      </c>
      <c r="O911" s="32">
        <v>0</v>
      </c>
      <c r="P911" s="32">
        <v>0</v>
      </c>
      <c r="Q911" s="32">
        <v>0</v>
      </c>
      <c r="R911" s="32">
        <v>0</v>
      </c>
      <c r="S911" s="32">
        <v>0</v>
      </c>
      <c r="T911" s="32">
        <v>0</v>
      </c>
      <c r="U911" s="32">
        <v>0</v>
      </c>
      <c r="V911" s="32">
        <v>0</v>
      </c>
      <c r="W911" s="32">
        <v>0</v>
      </c>
      <c r="X911" s="32">
        <v>0</v>
      </c>
      <c r="Y911" s="32">
        <v>0</v>
      </c>
      <c r="Z911" s="32">
        <v>0</v>
      </c>
      <c r="AA911" s="32">
        <v>0</v>
      </c>
      <c r="AB911" s="32">
        <v>0</v>
      </c>
      <c r="AC911" s="32">
        <f t="shared" si="424"/>
        <v>62688.99</v>
      </c>
      <c r="AD911" s="32">
        <v>0</v>
      </c>
      <c r="AE911" s="32">
        <v>0</v>
      </c>
      <c r="AF911" s="35" t="s">
        <v>275</v>
      </c>
      <c r="AG911" s="35">
        <v>2022</v>
      </c>
      <c r="AH911" s="36">
        <v>2022</v>
      </c>
      <c r="AT911" s="21" t="e">
        <f t="shared" si="425"/>
        <v>#N/A</v>
      </c>
    </row>
    <row r="912" spans="1:46" ht="61.5" x14ac:dyDescent="0.85">
      <c r="A912" s="21">
        <v>1</v>
      </c>
      <c r="B912" s="70">
        <f>SUBTOTAL(103,$A$896:A912)</f>
        <v>17</v>
      </c>
      <c r="C912" s="25" t="s">
        <v>612</v>
      </c>
      <c r="D912" s="32">
        <f t="shared" si="423"/>
        <v>3514995.2</v>
      </c>
      <c r="E912" s="32">
        <v>0</v>
      </c>
      <c r="F912" s="32">
        <v>0</v>
      </c>
      <c r="G912" s="32">
        <v>0</v>
      </c>
      <c r="H912" s="32">
        <v>0</v>
      </c>
      <c r="I912" s="32">
        <v>0</v>
      </c>
      <c r="J912" s="32">
        <v>0</v>
      </c>
      <c r="K912" s="34">
        <v>0</v>
      </c>
      <c r="L912" s="32">
        <v>0</v>
      </c>
      <c r="M912" s="32">
        <v>775</v>
      </c>
      <c r="N912" s="32">
        <v>3463049.46</v>
      </c>
      <c r="O912" s="32">
        <v>0</v>
      </c>
      <c r="P912" s="32">
        <v>0</v>
      </c>
      <c r="Q912" s="32">
        <v>0</v>
      </c>
      <c r="R912" s="32">
        <v>0</v>
      </c>
      <c r="S912" s="32">
        <v>0</v>
      </c>
      <c r="T912" s="32">
        <v>0</v>
      </c>
      <c r="U912" s="32">
        <v>0</v>
      </c>
      <c r="V912" s="32">
        <v>0</v>
      </c>
      <c r="W912" s="32">
        <v>0</v>
      </c>
      <c r="X912" s="32">
        <v>0</v>
      </c>
      <c r="Y912" s="32">
        <v>0</v>
      </c>
      <c r="Z912" s="32">
        <v>0</v>
      </c>
      <c r="AA912" s="32">
        <v>0</v>
      </c>
      <c r="AB912" s="32">
        <v>0</v>
      </c>
      <c r="AC912" s="32">
        <f t="shared" si="424"/>
        <v>51945.74</v>
      </c>
      <c r="AD912" s="32">
        <v>0</v>
      </c>
      <c r="AE912" s="32">
        <v>0</v>
      </c>
      <c r="AF912" s="35" t="s">
        <v>275</v>
      </c>
      <c r="AG912" s="35">
        <v>2022</v>
      </c>
      <c r="AH912" s="36">
        <v>2022</v>
      </c>
      <c r="AT912" s="21" t="e">
        <f t="shared" si="425"/>
        <v>#N/A</v>
      </c>
    </row>
    <row r="913" spans="1:46" ht="61.5" x14ac:dyDescent="0.85">
      <c r="A913" s="21">
        <v>1</v>
      </c>
      <c r="B913" s="70">
        <f>SUBTOTAL(103,$A$896:A913)</f>
        <v>18</v>
      </c>
      <c r="C913" s="25" t="s">
        <v>613</v>
      </c>
      <c r="D913" s="32">
        <f t="shared" si="423"/>
        <v>2547497.35</v>
      </c>
      <c r="E913" s="32">
        <v>0</v>
      </c>
      <c r="F913" s="32">
        <v>0</v>
      </c>
      <c r="G913" s="32">
        <v>0</v>
      </c>
      <c r="H913" s="32">
        <v>0</v>
      </c>
      <c r="I913" s="32">
        <v>0</v>
      </c>
      <c r="J913" s="32">
        <v>0</v>
      </c>
      <c r="K913" s="34">
        <v>0</v>
      </c>
      <c r="L913" s="32">
        <v>0</v>
      </c>
      <c r="M913" s="32">
        <v>557</v>
      </c>
      <c r="N913" s="32">
        <v>2509849.61</v>
      </c>
      <c r="O913" s="32">
        <v>0</v>
      </c>
      <c r="P913" s="32">
        <v>0</v>
      </c>
      <c r="Q913" s="32">
        <v>0</v>
      </c>
      <c r="R913" s="32">
        <v>0</v>
      </c>
      <c r="S913" s="32">
        <v>0</v>
      </c>
      <c r="T913" s="32">
        <v>0</v>
      </c>
      <c r="U913" s="32">
        <v>0</v>
      </c>
      <c r="V913" s="32">
        <v>0</v>
      </c>
      <c r="W913" s="32">
        <v>0</v>
      </c>
      <c r="X913" s="32">
        <v>0</v>
      </c>
      <c r="Y913" s="32">
        <v>0</v>
      </c>
      <c r="Z913" s="32">
        <v>0</v>
      </c>
      <c r="AA913" s="32">
        <v>0</v>
      </c>
      <c r="AB913" s="32">
        <v>0</v>
      </c>
      <c r="AC913" s="32">
        <f t="shared" si="424"/>
        <v>37647.74</v>
      </c>
      <c r="AD913" s="32">
        <v>0</v>
      </c>
      <c r="AE913" s="32">
        <v>0</v>
      </c>
      <c r="AF913" s="35" t="s">
        <v>275</v>
      </c>
      <c r="AG913" s="35">
        <v>2022</v>
      </c>
      <c r="AH913" s="36">
        <v>2022</v>
      </c>
      <c r="AT913" s="21" t="e">
        <f t="shared" si="425"/>
        <v>#N/A</v>
      </c>
    </row>
    <row r="914" spans="1:46" ht="61.5" x14ac:dyDescent="0.85">
      <c r="A914" s="21">
        <v>1</v>
      </c>
      <c r="B914" s="70">
        <f>SUBTOTAL(103,$A$896:A914)</f>
        <v>19</v>
      </c>
      <c r="C914" s="25" t="s">
        <v>614</v>
      </c>
      <c r="D914" s="32">
        <f t="shared" si="423"/>
        <v>974208.66</v>
      </c>
      <c r="E914" s="32">
        <v>0</v>
      </c>
      <c r="F914" s="32">
        <v>0</v>
      </c>
      <c r="G914" s="32">
        <v>0</v>
      </c>
      <c r="H914" s="32">
        <v>0</v>
      </c>
      <c r="I914" s="32">
        <v>0</v>
      </c>
      <c r="J914" s="32">
        <v>0</v>
      </c>
      <c r="K914" s="34">
        <v>0</v>
      </c>
      <c r="L914" s="32">
        <v>0</v>
      </c>
      <c r="M914" s="32">
        <v>226</v>
      </c>
      <c r="N914" s="32">
        <v>959811.49</v>
      </c>
      <c r="O914" s="32">
        <v>0</v>
      </c>
      <c r="P914" s="32">
        <v>0</v>
      </c>
      <c r="Q914" s="32">
        <v>0</v>
      </c>
      <c r="R914" s="32">
        <v>0</v>
      </c>
      <c r="S914" s="32">
        <v>0</v>
      </c>
      <c r="T914" s="32">
        <v>0</v>
      </c>
      <c r="U914" s="32">
        <v>0</v>
      </c>
      <c r="V914" s="32">
        <v>0</v>
      </c>
      <c r="W914" s="32">
        <v>0</v>
      </c>
      <c r="X914" s="32">
        <v>0</v>
      </c>
      <c r="Y914" s="32">
        <v>0</v>
      </c>
      <c r="Z914" s="32">
        <v>0</v>
      </c>
      <c r="AA914" s="32">
        <v>0</v>
      </c>
      <c r="AB914" s="32">
        <v>0</v>
      </c>
      <c r="AC914" s="32">
        <f t="shared" si="424"/>
        <v>14397.17</v>
      </c>
      <c r="AD914" s="32">
        <v>0</v>
      </c>
      <c r="AE914" s="32">
        <v>0</v>
      </c>
      <c r="AF914" s="35" t="s">
        <v>275</v>
      </c>
      <c r="AG914" s="35">
        <v>2022</v>
      </c>
      <c r="AH914" s="36">
        <v>2022</v>
      </c>
      <c r="AT914" s="21" t="e">
        <f t="shared" si="425"/>
        <v>#N/A</v>
      </c>
    </row>
    <row r="915" spans="1:46" ht="61.5" x14ac:dyDescent="0.85">
      <c r="A915" s="21">
        <v>1</v>
      </c>
      <c r="B915" s="70">
        <f>SUBTOTAL(103,$A$896:A915)</f>
        <v>20</v>
      </c>
      <c r="C915" s="25" t="s">
        <v>615</v>
      </c>
      <c r="D915" s="32">
        <f t="shared" si="423"/>
        <v>2883983.08</v>
      </c>
      <c r="E915" s="32">
        <v>0</v>
      </c>
      <c r="F915" s="32">
        <v>0</v>
      </c>
      <c r="G915" s="32">
        <v>0</v>
      </c>
      <c r="H915" s="32">
        <v>0</v>
      </c>
      <c r="I915" s="32">
        <v>0</v>
      </c>
      <c r="J915" s="32">
        <v>0</v>
      </c>
      <c r="K915" s="34">
        <v>0</v>
      </c>
      <c r="L915" s="32">
        <v>0</v>
      </c>
      <c r="M915" s="32">
        <v>632</v>
      </c>
      <c r="N915" s="32">
        <v>2841362.64</v>
      </c>
      <c r="O915" s="32">
        <v>0</v>
      </c>
      <c r="P915" s="32">
        <v>0</v>
      </c>
      <c r="Q915" s="32">
        <v>0</v>
      </c>
      <c r="R915" s="32">
        <v>0</v>
      </c>
      <c r="S915" s="32">
        <v>0</v>
      </c>
      <c r="T915" s="32">
        <v>0</v>
      </c>
      <c r="U915" s="32">
        <v>0</v>
      </c>
      <c r="V915" s="32">
        <v>0</v>
      </c>
      <c r="W915" s="32">
        <v>0</v>
      </c>
      <c r="X915" s="32">
        <v>0</v>
      </c>
      <c r="Y915" s="32">
        <v>0</v>
      </c>
      <c r="Z915" s="32">
        <v>0</v>
      </c>
      <c r="AA915" s="32">
        <v>0</v>
      </c>
      <c r="AB915" s="32">
        <v>0</v>
      </c>
      <c r="AC915" s="32">
        <f t="shared" si="424"/>
        <v>42620.44</v>
      </c>
      <c r="AD915" s="32">
        <v>0</v>
      </c>
      <c r="AE915" s="32">
        <v>0</v>
      </c>
      <c r="AF915" s="35" t="s">
        <v>275</v>
      </c>
      <c r="AG915" s="35">
        <v>2022</v>
      </c>
      <c r="AH915" s="36">
        <v>2022</v>
      </c>
      <c r="AT915" s="21" t="e">
        <f t="shared" si="425"/>
        <v>#N/A</v>
      </c>
    </row>
    <row r="916" spans="1:46" ht="61.5" x14ac:dyDescent="0.85">
      <c r="A916" s="21">
        <v>1</v>
      </c>
      <c r="B916" s="70">
        <f>SUBTOTAL(103,$A$896:A916)</f>
        <v>21</v>
      </c>
      <c r="C916" s="25" t="s">
        <v>616</v>
      </c>
      <c r="D916" s="32">
        <f t="shared" si="423"/>
        <v>2883983.08</v>
      </c>
      <c r="E916" s="32">
        <v>0</v>
      </c>
      <c r="F916" s="32">
        <v>0</v>
      </c>
      <c r="G916" s="32">
        <v>0</v>
      </c>
      <c r="H916" s="32">
        <v>0</v>
      </c>
      <c r="I916" s="32">
        <v>0</v>
      </c>
      <c r="J916" s="32">
        <v>0</v>
      </c>
      <c r="K916" s="34">
        <v>0</v>
      </c>
      <c r="L916" s="32">
        <v>0</v>
      </c>
      <c r="M916" s="32">
        <v>632</v>
      </c>
      <c r="N916" s="32">
        <v>2841362.64</v>
      </c>
      <c r="O916" s="32">
        <v>0</v>
      </c>
      <c r="P916" s="32">
        <v>0</v>
      </c>
      <c r="Q916" s="32">
        <v>0</v>
      </c>
      <c r="R916" s="32">
        <v>0</v>
      </c>
      <c r="S916" s="32">
        <v>0</v>
      </c>
      <c r="T916" s="32">
        <v>0</v>
      </c>
      <c r="U916" s="32">
        <v>0</v>
      </c>
      <c r="V916" s="32">
        <v>0</v>
      </c>
      <c r="W916" s="32">
        <v>0</v>
      </c>
      <c r="X916" s="32">
        <v>0</v>
      </c>
      <c r="Y916" s="32">
        <v>0</v>
      </c>
      <c r="Z916" s="32">
        <v>0</v>
      </c>
      <c r="AA916" s="32">
        <v>0</v>
      </c>
      <c r="AB916" s="32">
        <v>0</v>
      </c>
      <c r="AC916" s="32">
        <f t="shared" si="424"/>
        <v>42620.44</v>
      </c>
      <c r="AD916" s="32">
        <v>0</v>
      </c>
      <c r="AE916" s="32">
        <v>0</v>
      </c>
      <c r="AF916" s="35" t="s">
        <v>275</v>
      </c>
      <c r="AG916" s="35">
        <v>2022</v>
      </c>
      <c r="AH916" s="36">
        <v>2022</v>
      </c>
      <c r="AT916" s="21" t="e">
        <f t="shared" si="425"/>
        <v>#N/A</v>
      </c>
    </row>
    <row r="917" spans="1:46" ht="61.5" x14ac:dyDescent="0.85">
      <c r="A917" s="21">
        <v>1</v>
      </c>
      <c r="B917" s="70">
        <f>SUBTOTAL(103,$A$896:A917)</f>
        <v>22</v>
      </c>
      <c r="C917" s="25" t="s">
        <v>617</v>
      </c>
      <c r="D917" s="32">
        <f t="shared" si="423"/>
        <v>3302263</v>
      </c>
      <c r="E917" s="32">
        <v>0</v>
      </c>
      <c r="F917" s="32">
        <v>0</v>
      </c>
      <c r="G917" s="32">
        <v>0</v>
      </c>
      <c r="H917" s="32">
        <v>0</v>
      </c>
      <c r="I917" s="32">
        <v>0</v>
      </c>
      <c r="J917" s="32">
        <v>0</v>
      </c>
      <c r="K917" s="34">
        <v>0</v>
      </c>
      <c r="L917" s="32">
        <v>0</v>
      </c>
      <c r="M917" s="32">
        <v>720</v>
      </c>
      <c r="N917" s="32">
        <v>3253461.08</v>
      </c>
      <c r="O917" s="32">
        <v>0</v>
      </c>
      <c r="P917" s="32">
        <v>0</v>
      </c>
      <c r="Q917" s="32">
        <v>0</v>
      </c>
      <c r="R917" s="32">
        <v>0</v>
      </c>
      <c r="S917" s="32">
        <v>0</v>
      </c>
      <c r="T917" s="32">
        <v>0</v>
      </c>
      <c r="U917" s="32">
        <v>0</v>
      </c>
      <c r="V917" s="32">
        <v>0</v>
      </c>
      <c r="W917" s="32">
        <v>0</v>
      </c>
      <c r="X917" s="32">
        <v>0</v>
      </c>
      <c r="Y917" s="32">
        <v>0</v>
      </c>
      <c r="Z917" s="32">
        <v>0</v>
      </c>
      <c r="AA917" s="32">
        <v>0</v>
      </c>
      <c r="AB917" s="32">
        <v>0</v>
      </c>
      <c r="AC917" s="32">
        <f t="shared" si="424"/>
        <v>48801.919999999998</v>
      </c>
      <c r="AD917" s="32">
        <v>0</v>
      </c>
      <c r="AE917" s="32">
        <v>0</v>
      </c>
      <c r="AF917" s="35" t="s">
        <v>275</v>
      </c>
      <c r="AG917" s="35">
        <v>2022</v>
      </c>
      <c r="AH917" s="36">
        <v>2022</v>
      </c>
      <c r="AT917" s="21" t="e">
        <f t="shared" si="425"/>
        <v>#N/A</v>
      </c>
    </row>
    <row r="918" spans="1:46" ht="61.5" x14ac:dyDescent="0.85">
      <c r="A918" s="21">
        <v>1</v>
      </c>
      <c r="B918" s="70">
        <f>SUBTOTAL(103,$A$896:A918)</f>
        <v>23</v>
      </c>
      <c r="C918" s="25" t="s">
        <v>618</v>
      </c>
      <c r="D918" s="32">
        <f t="shared" si="423"/>
        <v>4272967.33</v>
      </c>
      <c r="E918" s="32">
        <v>0</v>
      </c>
      <c r="F918" s="32">
        <v>0</v>
      </c>
      <c r="G918" s="32">
        <v>0</v>
      </c>
      <c r="H918" s="32">
        <v>0</v>
      </c>
      <c r="I918" s="32">
        <v>0</v>
      </c>
      <c r="J918" s="32">
        <v>0</v>
      </c>
      <c r="K918" s="34">
        <v>0</v>
      </c>
      <c r="L918" s="32">
        <v>0</v>
      </c>
      <c r="M918" s="32">
        <v>960</v>
      </c>
      <c r="N918" s="32">
        <v>4209820.03</v>
      </c>
      <c r="O918" s="32">
        <v>0</v>
      </c>
      <c r="P918" s="32">
        <v>0</v>
      </c>
      <c r="Q918" s="32">
        <v>0</v>
      </c>
      <c r="R918" s="32">
        <v>0</v>
      </c>
      <c r="S918" s="32">
        <v>0</v>
      </c>
      <c r="T918" s="32">
        <v>0</v>
      </c>
      <c r="U918" s="32">
        <v>0</v>
      </c>
      <c r="V918" s="32">
        <v>0</v>
      </c>
      <c r="W918" s="32">
        <v>0</v>
      </c>
      <c r="X918" s="32">
        <v>0</v>
      </c>
      <c r="Y918" s="32">
        <v>0</v>
      </c>
      <c r="Z918" s="32">
        <v>0</v>
      </c>
      <c r="AA918" s="32">
        <v>0</v>
      </c>
      <c r="AB918" s="32">
        <v>0</v>
      </c>
      <c r="AC918" s="32">
        <f t="shared" si="424"/>
        <v>63147.3</v>
      </c>
      <c r="AD918" s="32">
        <v>0</v>
      </c>
      <c r="AE918" s="32">
        <v>0</v>
      </c>
      <c r="AF918" s="35" t="s">
        <v>275</v>
      </c>
      <c r="AG918" s="35">
        <v>2022</v>
      </c>
      <c r="AH918" s="36">
        <v>2022</v>
      </c>
      <c r="AT918" s="21" t="e">
        <f t="shared" si="425"/>
        <v>#N/A</v>
      </c>
    </row>
    <row r="919" spans="1:46" ht="61.5" x14ac:dyDescent="0.85">
      <c r="A919" s="21">
        <v>1</v>
      </c>
      <c r="B919" s="70">
        <f>SUBTOTAL(103,$A$896:A919)</f>
        <v>24</v>
      </c>
      <c r="C919" s="25" t="s">
        <v>619</v>
      </c>
      <c r="D919" s="32">
        <f t="shared" si="423"/>
        <v>4323303.57</v>
      </c>
      <c r="E919" s="32">
        <v>0</v>
      </c>
      <c r="F919" s="32">
        <v>0</v>
      </c>
      <c r="G919" s="32">
        <v>0</v>
      </c>
      <c r="H919" s="32">
        <v>0</v>
      </c>
      <c r="I919" s="32">
        <v>0</v>
      </c>
      <c r="J919" s="32">
        <v>0</v>
      </c>
      <c r="K919" s="34">
        <v>0</v>
      </c>
      <c r="L919" s="32">
        <v>0</v>
      </c>
      <c r="M919" s="32">
        <v>971</v>
      </c>
      <c r="N919" s="32">
        <v>4259412.38</v>
      </c>
      <c r="O919" s="32">
        <v>0</v>
      </c>
      <c r="P919" s="32">
        <v>0</v>
      </c>
      <c r="Q919" s="32">
        <v>0</v>
      </c>
      <c r="R919" s="32">
        <v>0</v>
      </c>
      <c r="S919" s="32">
        <v>0</v>
      </c>
      <c r="T919" s="32">
        <v>0</v>
      </c>
      <c r="U919" s="32">
        <v>0</v>
      </c>
      <c r="V919" s="32">
        <v>0</v>
      </c>
      <c r="W919" s="32">
        <v>0</v>
      </c>
      <c r="X919" s="32">
        <v>0</v>
      </c>
      <c r="Y919" s="32">
        <v>0</v>
      </c>
      <c r="Z919" s="32">
        <v>0</v>
      </c>
      <c r="AA919" s="32">
        <v>0</v>
      </c>
      <c r="AB919" s="32">
        <v>0</v>
      </c>
      <c r="AC919" s="32">
        <f t="shared" si="424"/>
        <v>63891.19</v>
      </c>
      <c r="AD919" s="32">
        <v>0</v>
      </c>
      <c r="AE919" s="32">
        <v>0</v>
      </c>
      <c r="AF919" s="35" t="s">
        <v>275</v>
      </c>
      <c r="AG919" s="35">
        <v>2022</v>
      </c>
      <c r="AH919" s="36">
        <v>2022</v>
      </c>
      <c r="AT919" s="21" t="e">
        <f t="shared" si="425"/>
        <v>#N/A</v>
      </c>
    </row>
    <row r="920" spans="1:46" ht="61.5" x14ac:dyDescent="0.85">
      <c r="A920" s="21">
        <v>1</v>
      </c>
      <c r="B920" s="70">
        <f>SUBTOTAL(103,$A$896:A920)</f>
        <v>25</v>
      </c>
      <c r="C920" s="25" t="s">
        <v>620</v>
      </c>
      <c r="D920" s="32">
        <f t="shared" si="423"/>
        <v>2249559.61</v>
      </c>
      <c r="E920" s="32">
        <v>0</v>
      </c>
      <c r="F920" s="32">
        <v>0</v>
      </c>
      <c r="G920" s="32">
        <v>0</v>
      </c>
      <c r="H920" s="32">
        <v>0</v>
      </c>
      <c r="I920" s="32">
        <v>0</v>
      </c>
      <c r="J920" s="32">
        <v>0</v>
      </c>
      <c r="K920" s="34">
        <v>1</v>
      </c>
      <c r="L920" s="32">
        <v>2249559.61</v>
      </c>
      <c r="M920" s="32">
        <v>0</v>
      </c>
      <c r="N920" s="32">
        <v>0</v>
      </c>
      <c r="O920" s="32">
        <v>0</v>
      </c>
      <c r="P920" s="32">
        <v>0</v>
      </c>
      <c r="Q920" s="32">
        <v>0</v>
      </c>
      <c r="R920" s="32">
        <v>0</v>
      </c>
      <c r="S920" s="32">
        <v>0</v>
      </c>
      <c r="T920" s="32">
        <v>0</v>
      </c>
      <c r="U920" s="32">
        <v>0</v>
      </c>
      <c r="V920" s="32">
        <v>0</v>
      </c>
      <c r="W920" s="32">
        <v>0</v>
      </c>
      <c r="X920" s="32">
        <v>0</v>
      </c>
      <c r="Y920" s="32">
        <v>0</v>
      </c>
      <c r="Z920" s="32">
        <v>0</v>
      </c>
      <c r="AA920" s="32">
        <v>0</v>
      </c>
      <c r="AB920" s="32">
        <v>0</v>
      </c>
      <c r="AC920" s="32">
        <v>0</v>
      </c>
      <c r="AD920" s="32">
        <v>0</v>
      </c>
      <c r="AE920" s="32">
        <v>0</v>
      </c>
      <c r="AF920" s="35" t="s">
        <v>275</v>
      </c>
      <c r="AG920" s="35">
        <v>2022</v>
      </c>
      <c r="AH920" s="36" t="s">
        <v>275</v>
      </c>
      <c r="AT920" s="21" t="e">
        <f t="shared" si="425"/>
        <v>#N/A</v>
      </c>
    </row>
    <row r="921" spans="1:46" ht="61.5" x14ac:dyDescent="0.85">
      <c r="A921" s="21">
        <v>1</v>
      </c>
      <c r="B921" s="70">
        <f>SUBTOTAL(103,$A$896:A921)</f>
        <v>26</v>
      </c>
      <c r="C921" s="25" t="s">
        <v>621</v>
      </c>
      <c r="D921" s="32">
        <f t="shared" si="423"/>
        <v>3899114.33</v>
      </c>
      <c r="E921" s="32">
        <v>0</v>
      </c>
      <c r="F921" s="32">
        <v>0</v>
      </c>
      <c r="G921" s="32">
        <v>0</v>
      </c>
      <c r="H921" s="32">
        <v>0</v>
      </c>
      <c r="I921" s="32">
        <v>0</v>
      </c>
      <c r="J921" s="32">
        <v>0</v>
      </c>
      <c r="K921" s="34">
        <v>0</v>
      </c>
      <c r="L921" s="32">
        <v>0</v>
      </c>
      <c r="M921" s="32">
        <v>844</v>
      </c>
      <c r="N921" s="32">
        <v>3841491.95</v>
      </c>
      <c r="O921" s="32">
        <v>0</v>
      </c>
      <c r="P921" s="32">
        <v>0</v>
      </c>
      <c r="Q921" s="32">
        <v>0</v>
      </c>
      <c r="R921" s="32">
        <v>0</v>
      </c>
      <c r="S921" s="32">
        <v>0</v>
      </c>
      <c r="T921" s="32">
        <v>0</v>
      </c>
      <c r="U921" s="32">
        <v>0</v>
      </c>
      <c r="V921" s="32">
        <v>0</v>
      </c>
      <c r="W921" s="32">
        <v>0</v>
      </c>
      <c r="X921" s="32">
        <v>0</v>
      </c>
      <c r="Y921" s="32">
        <v>0</v>
      </c>
      <c r="Z921" s="32">
        <v>0</v>
      </c>
      <c r="AA921" s="32">
        <v>0</v>
      </c>
      <c r="AB921" s="32">
        <v>0</v>
      </c>
      <c r="AC921" s="32">
        <f t="shared" ref="AC921:AC927" si="426">ROUND(N921*1.5%,2)</f>
        <v>57622.38</v>
      </c>
      <c r="AD921" s="32">
        <v>0</v>
      </c>
      <c r="AE921" s="32">
        <v>0</v>
      </c>
      <c r="AF921" s="35" t="s">
        <v>275</v>
      </c>
      <c r="AG921" s="35">
        <v>2022</v>
      </c>
      <c r="AH921" s="36">
        <v>2022</v>
      </c>
      <c r="AT921" s="21" t="e">
        <f t="shared" si="425"/>
        <v>#N/A</v>
      </c>
    </row>
    <row r="922" spans="1:46" ht="61.5" x14ac:dyDescent="0.85">
      <c r="A922" s="21">
        <v>1</v>
      </c>
      <c r="B922" s="70">
        <f>SUBTOTAL(103,$A$896:A922)</f>
        <v>27</v>
      </c>
      <c r="C922" s="25" t="s">
        <v>622</v>
      </c>
      <c r="D922" s="32">
        <f t="shared" si="423"/>
        <v>5613232.8199999994</v>
      </c>
      <c r="E922" s="32">
        <v>0</v>
      </c>
      <c r="F922" s="32">
        <v>0</v>
      </c>
      <c r="G922" s="32">
        <v>0</v>
      </c>
      <c r="H922" s="32">
        <v>0</v>
      </c>
      <c r="I922" s="32">
        <v>0</v>
      </c>
      <c r="J922" s="32">
        <v>0</v>
      </c>
      <c r="K922" s="34">
        <v>0</v>
      </c>
      <c r="L922" s="32">
        <v>0</v>
      </c>
      <c r="M922" s="32">
        <v>1206.2</v>
      </c>
      <c r="N922" s="32">
        <v>5530278.6399999997</v>
      </c>
      <c r="O922" s="32">
        <v>0</v>
      </c>
      <c r="P922" s="32">
        <v>0</v>
      </c>
      <c r="Q922" s="32">
        <v>0</v>
      </c>
      <c r="R922" s="32">
        <v>0</v>
      </c>
      <c r="S922" s="32">
        <v>0</v>
      </c>
      <c r="T922" s="32">
        <v>0</v>
      </c>
      <c r="U922" s="32">
        <v>0</v>
      </c>
      <c r="V922" s="32">
        <v>0</v>
      </c>
      <c r="W922" s="32">
        <v>0</v>
      </c>
      <c r="X922" s="32">
        <v>0</v>
      </c>
      <c r="Y922" s="32">
        <v>0</v>
      </c>
      <c r="Z922" s="32">
        <v>0</v>
      </c>
      <c r="AA922" s="32">
        <v>0</v>
      </c>
      <c r="AB922" s="32">
        <v>0</v>
      </c>
      <c r="AC922" s="32">
        <f t="shared" si="426"/>
        <v>82954.179999999993</v>
      </c>
      <c r="AD922" s="32">
        <v>0</v>
      </c>
      <c r="AE922" s="32">
        <v>0</v>
      </c>
      <c r="AF922" s="35" t="s">
        <v>275</v>
      </c>
      <c r="AG922" s="35">
        <v>2022</v>
      </c>
      <c r="AH922" s="36">
        <v>2022</v>
      </c>
      <c r="AT922" s="21" t="e">
        <f t="shared" si="425"/>
        <v>#N/A</v>
      </c>
    </row>
    <row r="923" spans="1:46" ht="61.5" x14ac:dyDescent="0.85">
      <c r="A923" s="21">
        <v>1</v>
      </c>
      <c r="B923" s="70">
        <f>SUBTOTAL(103,$A$896:A923)</f>
        <v>28</v>
      </c>
      <c r="C923" s="25" t="s">
        <v>623</v>
      </c>
      <c r="D923" s="32">
        <f t="shared" si="423"/>
        <v>3711978.26</v>
      </c>
      <c r="E923" s="32">
        <v>0</v>
      </c>
      <c r="F923" s="32">
        <v>0</v>
      </c>
      <c r="G923" s="32">
        <v>0</v>
      </c>
      <c r="H923" s="32">
        <v>0</v>
      </c>
      <c r="I923" s="32">
        <v>0</v>
      </c>
      <c r="J923" s="32">
        <v>0</v>
      </c>
      <c r="K923" s="34">
        <v>0</v>
      </c>
      <c r="L923" s="32">
        <v>0</v>
      </c>
      <c r="M923" s="32">
        <v>806.2</v>
      </c>
      <c r="N923" s="32">
        <v>3657121.44</v>
      </c>
      <c r="O923" s="32">
        <v>0</v>
      </c>
      <c r="P923" s="32">
        <v>0</v>
      </c>
      <c r="Q923" s="32">
        <v>0</v>
      </c>
      <c r="R923" s="32">
        <v>0</v>
      </c>
      <c r="S923" s="32">
        <v>0</v>
      </c>
      <c r="T923" s="32">
        <v>0</v>
      </c>
      <c r="U923" s="32">
        <v>0</v>
      </c>
      <c r="V923" s="32">
        <v>0</v>
      </c>
      <c r="W923" s="32">
        <v>0</v>
      </c>
      <c r="X923" s="32">
        <v>0</v>
      </c>
      <c r="Y923" s="32">
        <v>0</v>
      </c>
      <c r="Z923" s="32">
        <v>0</v>
      </c>
      <c r="AA923" s="32">
        <v>0</v>
      </c>
      <c r="AB923" s="32">
        <v>0</v>
      </c>
      <c r="AC923" s="32">
        <f t="shared" si="426"/>
        <v>54856.82</v>
      </c>
      <c r="AD923" s="32">
        <v>0</v>
      </c>
      <c r="AE923" s="32">
        <v>0</v>
      </c>
      <c r="AF923" s="35" t="s">
        <v>275</v>
      </c>
      <c r="AG923" s="35">
        <v>2022</v>
      </c>
      <c r="AH923" s="36">
        <v>2022</v>
      </c>
      <c r="AT923" s="21" t="e">
        <f t="shared" si="425"/>
        <v>#N/A</v>
      </c>
    </row>
    <row r="924" spans="1:46" ht="61.5" x14ac:dyDescent="0.85">
      <c r="A924" s="21">
        <v>1</v>
      </c>
      <c r="B924" s="70">
        <f>SUBTOTAL(103,$A$896:A924)</f>
        <v>29</v>
      </c>
      <c r="C924" s="25" t="s">
        <v>624</v>
      </c>
      <c r="D924" s="32">
        <f t="shared" si="423"/>
        <v>4866989.0200000005</v>
      </c>
      <c r="E924" s="32">
        <v>0</v>
      </c>
      <c r="F924" s="32">
        <v>0</v>
      </c>
      <c r="G924" s="32">
        <v>0</v>
      </c>
      <c r="H924" s="32">
        <v>0</v>
      </c>
      <c r="I924" s="32">
        <v>0</v>
      </c>
      <c r="J924" s="32">
        <v>0</v>
      </c>
      <c r="K924" s="34">
        <v>0</v>
      </c>
      <c r="L924" s="32">
        <v>0</v>
      </c>
      <c r="M924" s="32">
        <v>1049.2</v>
      </c>
      <c r="N924" s="32">
        <v>4795063.07</v>
      </c>
      <c r="O924" s="32">
        <v>0</v>
      </c>
      <c r="P924" s="32">
        <v>0</v>
      </c>
      <c r="Q924" s="32">
        <v>0</v>
      </c>
      <c r="R924" s="32">
        <v>0</v>
      </c>
      <c r="S924" s="32">
        <v>0</v>
      </c>
      <c r="T924" s="32">
        <v>0</v>
      </c>
      <c r="U924" s="32">
        <v>0</v>
      </c>
      <c r="V924" s="32">
        <v>0</v>
      </c>
      <c r="W924" s="32">
        <v>0</v>
      </c>
      <c r="X924" s="32">
        <v>0</v>
      </c>
      <c r="Y924" s="32">
        <v>0</v>
      </c>
      <c r="Z924" s="32">
        <v>0</v>
      </c>
      <c r="AA924" s="32">
        <v>0</v>
      </c>
      <c r="AB924" s="32">
        <v>0</v>
      </c>
      <c r="AC924" s="32">
        <f t="shared" si="426"/>
        <v>71925.95</v>
      </c>
      <c r="AD924" s="32">
        <v>0</v>
      </c>
      <c r="AE924" s="32">
        <v>0</v>
      </c>
      <c r="AF924" s="35" t="s">
        <v>275</v>
      </c>
      <c r="AG924" s="35">
        <v>2022</v>
      </c>
      <c r="AH924" s="36">
        <v>2022</v>
      </c>
      <c r="AT924" s="21" t="e">
        <f t="shared" si="425"/>
        <v>#N/A</v>
      </c>
    </row>
    <row r="925" spans="1:46" ht="61.5" x14ac:dyDescent="0.85">
      <c r="A925" s="21">
        <v>1</v>
      </c>
      <c r="B925" s="70">
        <f>SUBTOTAL(103,$A$896:A925)</f>
        <v>30</v>
      </c>
      <c r="C925" s="25" t="s">
        <v>625</v>
      </c>
      <c r="D925" s="32">
        <f t="shared" si="423"/>
        <v>3834609.35</v>
      </c>
      <c r="E925" s="32">
        <v>0</v>
      </c>
      <c r="F925" s="32">
        <v>0</v>
      </c>
      <c r="G925" s="32">
        <v>0</v>
      </c>
      <c r="H925" s="32">
        <v>0</v>
      </c>
      <c r="I925" s="32">
        <v>0</v>
      </c>
      <c r="J925" s="32">
        <v>0</v>
      </c>
      <c r="K925" s="34">
        <v>0</v>
      </c>
      <c r="L925" s="32">
        <v>0</v>
      </c>
      <c r="M925" s="32">
        <v>832</v>
      </c>
      <c r="N925" s="32">
        <v>3777940.25</v>
      </c>
      <c r="O925" s="32">
        <v>0</v>
      </c>
      <c r="P925" s="32">
        <v>0</v>
      </c>
      <c r="Q925" s="32">
        <v>0</v>
      </c>
      <c r="R925" s="32">
        <v>0</v>
      </c>
      <c r="S925" s="32">
        <v>0</v>
      </c>
      <c r="T925" s="32">
        <v>0</v>
      </c>
      <c r="U925" s="32">
        <v>0</v>
      </c>
      <c r="V925" s="32">
        <v>0</v>
      </c>
      <c r="W925" s="32">
        <v>0</v>
      </c>
      <c r="X925" s="32">
        <v>0</v>
      </c>
      <c r="Y925" s="32">
        <v>0</v>
      </c>
      <c r="Z925" s="32">
        <v>0</v>
      </c>
      <c r="AA925" s="32">
        <v>0</v>
      </c>
      <c r="AB925" s="32">
        <v>0</v>
      </c>
      <c r="AC925" s="32">
        <f t="shared" si="426"/>
        <v>56669.1</v>
      </c>
      <c r="AD925" s="32">
        <v>0</v>
      </c>
      <c r="AE925" s="32">
        <v>0</v>
      </c>
      <c r="AF925" s="35" t="s">
        <v>275</v>
      </c>
      <c r="AG925" s="35">
        <v>2022</v>
      </c>
      <c r="AH925" s="36">
        <v>2022</v>
      </c>
      <c r="AT925" s="21" t="e">
        <f t="shared" si="425"/>
        <v>#N/A</v>
      </c>
    </row>
    <row r="926" spans="1:46" ht="61.5" x14ac:dyDescent="0.85">
      <c r="A926" s="21">
        <v>1</v>
      </c>
      <c r="B926" s="70">
        <f>SUBTOTAL(103,$A$896:A926)</f>
        <v>31</v>
      </c>
      <c r="C926" s="25" t="s">
        <v>626</v>
      </c>
      <c r="D926" s="32">
        <f t="shared" si="423"/>
        <v>2834067.58</v>
      </c>
      <c r="E926" s="32">
        <v>0</v>
      </c>
      <c r="F926" s="32">
        <v>0</v>
      </c>
      <c r="G926" s="32">
        <v>0</v>
      </c>
      <c r="H926" s="32">
        <v>0</v>
      </c>
      <c r="I926" s="32">
        <v>0</v>
      </c>
      <c r="J926" s="32">
        <v>0</v>
      </c>
      <c r="K926" s="34">
        <v>0</v>
      </c>
      <c r="L926" s="32">
        <v>0</v>
      </c>
      <c r="M926" s="32">
        <v>621.5</v>
      </c>
      <c r="N926" s="32">
        <v>2792184.81</v>
      </c>
      <c r="O926" s="32">
        <v>0</v>
      </c>
      <c r="P926" s="32">
        <v>0</v>
      </c>
      <c r="Q926" s="32">
        <v>0</v>
      </c>
      <c r="R926" s="32">
        <v>0</v>
      </c>
      <c r="S926" s="32">
        <v>0</v>
      </c>
      <c r="T926" s="32">
        <v>0</v>
      </c>
      <c r="U926" s="32">
        <v>0</v>
      </c>
      <c r="V926" s="32">
        <v>0</v>
      </c>
      <c r="W926" s="32">
        <v>0</v>
      </c>
      <c r="X926" s="32">
        <v>0</v>
      </c>
      <c r="Y926" s="32">
        <v>0</v>
      </c>
      <c r="Z926" s="32">
        <v>0</v>
      </c>
      <c r="AA926" s="32">
        <v>0</v>
      </c>
      <c r="AB926" s="32">
        <v>0</v>
      </c>
      <c r="AC926" s="32">
        <f t="shared" si="426"/>
        <v>41882.769999999997</v>
      </c>
      <c r="AD926" s="32">
        <v>0</v>
      </c>
      <c r="AE926" s="32">
        <v>0</v>
      </c>
      <c r="AF926" s="35" t="s">
        <v>275</v>
      </c>
      <c r="AG926" s="35">
        <v>2022</v>
      </c>
      <c r="AH926" s="36">
        <v>2022</v>
      </c>
      <c r="AT926" s="21" t="e">
        <f t="shared" si="425"/>
        <v>#N/A</v>
      </c>
    </row>
    <row r="927" spans="1:46" ht="61.5" x14ac:dyDescent="0.85">
      <c r="A927" s="21">
        <v>1</v>
      </c>
      <c r="B927" s="70">
        <f>SUBTOTAL(103,$A$896:A927)</f>
        <v>32</v>
      </c>
      <c r="C927" s="25" t="s">
        <v>627</v>
      </c>
      <c r="D927" s="32">
        <f t="shared" si="423"/>
        <v>6697616.7399999993</v>
      </c>
      <c r="E927" s="32">
        <v>0</v>
      </c>
      <c r="F927" s="32">
        <v>0</v>
      </c>
      <c r="G927" s="32">
        <v>0</v>
      </c>
      <c r="H927" s="32">
        <v>0</v>
      </c>
      <c r="I927" s="32">
        <v>0</v>
      </c>
      <c r="J927" s="32">
        <v>0</v>
      </c>
      <c r="K927" s="34">
        <v>0</v>
      </c>
      <c r="L927" s="32">
        <v>0</v>
      </c>
      <c r="M927" s="32">
        <v>1447</v>
      </c>
      <c r="N927" s="32">
        <v>6598637.1799999997</v>
      </c>
      <c r="O927" s="32">
        <v>0</v>
      </c>
      <c r="P927" s="32">
        <v>0</v>
      </c>
      <c r="Q927" s="32">
        <v>0</v>
      </c>
      <c r="R927" s="32">
        <v>0</v>
      </c>
      <c r="S927" s="32">
        <v>0</v>
      </c>
      <c r="T927" s="32">
        <v>0</v>
      </c>
      <c r="U927" s="32">
        <v>0</v>
      </c>
      <c r="V927" s="32">
        <v>0</v>
      </c>
      <c r="W927" s="32">
        <v>0</v>
      </c>
      <c r="X927" s="32">
        <v>0</v>
      </c>
      <c r="Y927" s="32">
        <v>0</v>
      </c>
      <c r="Z927" s="32">
        <v>0</v>
      </c>
      <c r="AA927" s="32">
        <v>0</v>
      </c>
      <c r="AB927" s="32">
        <v>0</v>
      </c>
      <c r="AC927" s="32">
        <f t="shared" si="426"/>
        <v>98979.56</v>
      </c>
      <c r="AD927" s="32">
        <v>0</v>
      </c>
      <c r="AE927" s="32">
        <v>0</v>
      </c>
      <c r="AF927" s="35" t="s">
        <v>275</v>
      </c>
      <c r="AG927" s="35">
        <v>2022</v>
      </c>
      <c r="AH927" s="36">
        <v>2022</v>
      </c>
      <c r="AT927" s="21" t="e">
        <f t="shared" si="425"/>
        <v>#N/A</v>
      </c>
    </row>
    <row r="928" spans="1:46" ht="61.5" x14ac:dyDescent="0.85">
      <c r="A928" s="21">
        <v>1</v>
      </c>
      <c r="B928" s="70">
        <f>SUBTOTAL(103,$A$896:A928)</f>
        <v>33</v>
      </c>
      <c r="C928" s="25" t="s">
        <v>628</v>
      </c>
      <c r="D928" s="32">
        <f t="shared" si="423"/>
        <v>5163885</v>
      </c>
      <c r="E928" s="32">
        <v>0</v>
      </c>
      <c r="F928" s="32">
        <v>0</v>
      </c>
      <c r="G928" s="32">
        <v>0</v>
      </c>
      <c r="H928" s="32">
        <v>0</v>
      </c>
      <c r="I928" s="32">
        <v>0</v>
      </c>
      <c r="J928" s="32">
        <v>0</v>
      </c>
      <c r="K928" s="34">
        <v>0</v>
      </c>
      <c r="L928" s="32">
        <v>0</v>
      </c>
      <c r="M928" s="32">
        <v>0</v>
      </c>
      <c r="N928" s="32">
        <v>0</v>
      </c>
      <c r="O928" s="32">
        <v>0</v>
      </c>
      <c r="P928" s="32">
        <v>0</v>
      </c>
      <c r="Q928" s="32">
        <v>1536</v>
      </c>
      <c r="R928" s="32">
        <v>5087571.43</v>
      </c>
      <c r="S928" s="32">
        <v>0</v>
      </c>
      <c r="T928" s="32">
        <v>0</v>
      </c>
      <c r="U928" s="32">
        <v>0</v>
      </c>
      <c r="V928" s="32">
        <v>0</v>
      </c>
      <c r="W928" s="32">
        <v>0</v>
      </c>
      <c r="X928" s="32">
        <v>0</v>
      </c>
      <c r="Y928" s="32">
        <v>0</v>
      </c>
      <c r="Z928" s="32">
        <v>0</v>
      </c>
      <c r="AA928" s="32">
        <v>0</v>
      </c>
      <c r="AB928" s="32">
        <v>0</v>
      </c>
      <c r="AC928" s="32">
        <f t="shared" ref="AC928" si="427">ROUND(R928*1.5%,2)</f>
        <v>76313.570000000007</v>
      </c>
      <c r="AD928" s="32">
        <v>0</v>
      </c>
      <c r="AE928" s="32">
        <v>0</v>
      </c>
      <c r="AF928" s="35" t="s">
        <v>275</v>
      </c>
      <c r="AG928" s="35">
        <v>2022</v>
      </c>
      <c r="AH928" s="36">
        <v>2022</v>
      </c>
      <c r="AT928" s="21" t="e">
        <f t="shared" si="425"/>
        <v>#N/A</v>
      </c>
    </row>
    <row r="929" spans="1:46" ht="61.5" x14ac:dyDescent="0.85">
      <c r="A929" s="21">
        <v>1</v>
      </c>
      <c r="B929" s="70">
        <f>SUBTOTAL(103,$A$896:A929)</f>
        <v>34</v>
      </c>
      <c r="C929" s="25" t="s">
        <v>629</v>
      </c>
      <c r="D929" s="32">
        <f t="shared" si="423"/>
        <v>4343671.0699999994</v>
      </c>
      <c r="E929" s="32">
        <v>0</v>
      </c>
      <c r="F929" s="32">
        <v>0</v>
      </c>
      <c r="G929" s="32">
        <v>0</v>
      </c>
      <c r="H929" s="32">
        <v>0</v>
      </c>
      <c r="I929" s="32">
        <v>0</v>
      </c>
      <c r="J929" s="32">
        <v>0</v>
      </c>
      <c r="K929" s="34">
        <v>0</v>
      </c>
      <c r="L929" s="32">
        <v>0</v>
      </c>
      <c r="M929" s="32">
        <v>939.1</v>
      </c>
      <c r="N929" s="32">
        <v>4279478.8899999997</v>
      </c>
      <c r="O929" s="32">
        <v>0</v>
      </c>
      <c r="P929" s="32">
        <v>0</v>
      </c>
      <c r="Q929" s="32">
        <v>0</v>
      </c>
      <c r="R929" s="32">
        <v>0</v>
      </c>
      <c r="S929" s="32">
        <v>0</v>
      </c>
      <c r="T929" s="32">
        <v>0</v>
      </c>
      <c r="U929" s="32">
        <v>0</v>
      </c>
      <c r="V929" s="32">
        <v>0</v>
      </c>
      <c r="W929" s="32">
        <v>0</v>
      </c>
      <c r="X929" s="32">
        <v>0</v>
      </c>
      <c r="Y929" s="32">
        <v>0</v>
      </c>
      <c r="Z929" s="32">
        <v>0</v>
      </c>
      <c r="AA929" s="32">
        <v>0</v>
      </c>
      <c r="AB929" s="32">
        <v>0</v>
      </c>
      <c r="AC929" s="32">
        <f t="shared" ref="AC929:AC930" si="428">ROUND(N929*1.5%,2)</f>
        <v>64192.18</v>
      </c>
      <c r="AD929" s="32">
        <v>0</v>
      </c>
      <c r="AE929" s="32">
        <v>0</v>
      </c>
      <c r="AF929" s="35" t="s">
        <v>275</v>
      </c>
      <c r="AG929" s="35">
        <v>2022</v>
      </c>
      <c r="AH929" s="36">
        <v>2022</v>
      </c>
      <c r="AT929" s="21" t="e">
        <f t="shared" si="425"/>
        <v>#N/A</v>
      </c>
    </row>
    <row r="930" spans="1:46" ht="61.5" x14ac:dyDescent="0.85">
      <c r="A930" s="21">
        <v>1</v>
      </c>
      <c r="B930" s="70">
        <f>SUBTOTAL(103,$A$896:A930)</f>
        <v>35</v>
      </c>
      <c r="C930" s="25" t="s">
        <v>630</v>
      </c>
      <c r="D930" s="32">
        <f t="shared" si="423"/>
        <v>2694844.11</v>
      </c>
      <c r="E930" s="32">
        <v>0</v>
      </c>
      <c r="F930" s="32">
        <v>0</v>
      </c>
      <c r="G930" s="32">
        <v>0</v>
      </c>
      <c r="H930" s="32">
        <v>0</v>
      </c>
      <c r="I930" s="32">
        <v>0</v>
      </c>
      <c r="J930" s="32">
        <v>0</v>
      </c>
      <c r="K930" s="34">
        <v>0</v>
      </c>
      <c r="L930" s="32">
        <v>0</v>
      </c>
      <c r="M930" s="32">
        <v>588</v>
      </c>
      <c r="N930" s="32">
        <v>2655018.83</v>
      </c>
      <c r="O930" s="32">
        <v>0</v>
      </c>
      <c r="P930" s="32">
        <v>0</v>
      </c>
      <c r="Q930" s="32">
        <v>0</v>
      </c>
      <c r="R930" s="32">
        <v>0</v>
      </c>
      <c r="S930" s="32">
        <v>0</v>
      </c>
      <c r="T930" s="32">
        <v>0</v>
      </c>
      <c r="U930" s="32">
        <v>0</v>
      </c>
      <c r="V930" s="32">
        <v>0</v>
      </c>
      <c r="W930" s="32">
        <v>0</v>
      </c>
      <c r="X930" s="32">
        <v>0</v>
      </c>
      <c r="Y930" s="32">
        <v>0</v>
      </c>
      <c r="Z930" s="32">
        <v>0</v>
      </c>
      <c r="AA930" s="32">
        <v>0</v>
      </c>
      <c r="AB930" s="32">
        <v>0</v>
      </c>
      <c r="AC930" s="32">
        <f t="shared" si="428"/>
        <v>39825.279999999999</v>
      </c>
      <c r="AD930" s="32">
        <v>0</v>
      </c>
      <c r="AE930" s="32">
        <v>0</v>
      </c>
      <c r="AF930" s="35" t="s">
        <v>275</v>
      </c>
      <c r="AG930" s="35">
        <v>2022</v>
      </c>
      <c r="AH930" s="36">
        <v>2022</v>
      </c>
      <c r="AT930" s="21" t="e">
        <f t="shared" si="425"/>
        <v>#N/A</v>
      </c>
    </row>
    <row r="931" spans="1:46" ht="61.5" x14ac:dyDescent="0.85">
      <c r="A931" s="21">
        <v>1</v>
      </c>
      <c r="B931" s="70">
        <f>SUBTOTAL(103,$A$896:A931)</f>
        <v>36</v>
      </c>
      <c r="C931" s="25" t="s">
        <v>631</v>
      </c>
      <c r="D931" s="32">
        <f t="shared" si="423"/>
        <v>4820291</v>
      </c>
      <c r="E931" s="32">
        <v>0</v>
      </c>
      <c r="F931" s="32">
        <v>0</v>
      </c>
      <c r="G931" s="32">
        <v>0</v>
      </c>
      <c r="H931" s="32">
        <v>0</v>
      </c>
      <c r="I931" s="32">
        <v>0</v>
      </c>
      <c r="J931" s="32">
        <v>0</v>
      </c>
      <c r="K931" s="34">
        <v>0</v>
      </c>
      <c r="L931" s="32">
        <v>0</v>
      </c>
      <c r="M931" s="32">
        <v>0</v>
      </c>
      <c r="N931" s="32">
        <v>0</v>
      </c>
      <c r="O931" s="32">
        <v>0</v>
      </c>
      <c r="P931" s="32">
        <v>0</v>
      </c>
      <c r="Q931" s="32">
        <v>1425</v>
      </c>
      <c r="R931" s="32">
        <v>4749055</v>
      </c>
      <c r="S931" s="32">
        <v>0</v>
      </c>
      <c r="T931" s="32">
        <v>0</v>
      </c>
      <c r="U931" s="32">
        <v>0</v>
      </c>
      <c r="V931" s="32">
        <v>0</v>
      </c>
      <c r="W931" s="32">
        <v>0</v>
      </c>
      <c r="X931" s="32">
        <v>0</v>
      </c>
      <c r="Y931" s="32">
        <v>0</v>
      </c>
      <c r="Z931" s="32">
        <v>0</v>
      </c>
      <c r="AA931" s="32">
        <v>0</v>
      </c>
      <c r="AB931" s="32">
        <v>0</v>
      </c>
      <c r="AC931" s="32">
        <v>71236</v>
      </c>
      <c r="AD931" s="32">
        <v>0</v>
      </c>
      <c r="AE931" s="32">
        <v>0</v>
      </c>
      <c r="AF931" s="35" t="s">
        <v>275</v>
      </c>
      <c r="AG931" s="35">
        <v>2022</v>
      </c>
      <c r="AH931" s="36">
        <v>2022</v>
      </c>
      <c r="AT931" s="21" t="e">
        <f t="shared" si="425"/>
        <v>#N/A</v>
      </c>
    </row>
    <row r="932" spans="1:46" ht="61.5" x14ac:dyDescent="0.85">
      <c r="A932" s="21">
        <v>1</v>
      </c>
      <c r="B932" s="70">
        <f>SUBTOTAL(103,$A$896:A932)</f>
        <v>37</v>
      </c>
      <c r="C932" s="25" t="s">
        <v>632</v>
      </c>
      <c r="D932" s="32">
        <f t="shared" si="423"/>
        <v>2571262.73</v>
      </c>
      <c r="E932" s="32">
        <v>0</v>
      </c>
      <c r="F932" s="32">
        <v>0</v>
      </c>
      <c r="G932" s="32">
        <v>0</v>
      </c>
      <c r="H932" s="32">
        <v>0</v>
      </c>
      <c r="I932" s="32">
        <v>0</v>
      </c>
      <c r="J932" s="32">
        <v>0</v>
      </c>
      <c r="K932" s="34">
        <v>0</v>
      </c>
      <c r="L932" s="32">
        <v>0</v>
      </c>
      <c r="M932" s="32">
        <v>562</v>
      </c>
      <c r="N932" s="32">
        <v>2533263.77</v>
      </c>
      <c r="O932" s="32">
        <v>0</v>
      </c>
      <c r="P932" s="32">
        <v>0</v>
      </c>
      <c r="Q932" s="32">
        <v>0</v>
      </c>
      <c r="R932" s="32">
        <v>0</v>
      </c>
      <c r="S932" s="32">
        <v>0</v>
      </c>
      <c r="T932" s="32">
        <v>0</v>
      </c>
      <c r="U932" s="32">
        <v>0</v>
      </c>
      <c r="V932" s="32">
        <v>0</v>
      </c>
      <c r="W932" s="32">
        <v>0</v>
      </c>
      <c r="X932" s="32">
        <v>0</v>
      </c>
      <c r="Y932" s="32">
        <v>0</v>
      </c>
      <c r="Z932" s="32">
        <v>0</v>
      </c>
      <c r="AA932" s="32">
        <v>0</v>
      </c>
      <c r="AB932" s="32">
        <v>0</v>
      </c>
      <c r="AC932" s="32">
        <f t="shared" ref="AC932:AC944" si="429">ROUND(N932*1.5%,2)</f>
        <v>37998.959999999999</v>
      </c>
      <c r="AD932" s="32">
        <v>0</v>
      </c>
      <c r="AE932" s="32">
        <v>0</v>
      </c>
      <c r="AF932" s="35" t="s">
        <v>275</v>
      </c>
      <c r="AG932" s="35">
        <v>2022</v>
      </c>
      <c r="AH932" s="36">
        <v>2022</v>
      </c>
      <c r="AT932" s="21" t="e">
        <f t="shared" si="425"/>
        <v>#N/A</v>
      </c>
    </row>
    <row r="933" spans="1:46" ht="61.5" x14ac:dyDescent="0.85">
      <c r="A933" s="21">
        <v>1</v>
      </c>
      <c r="B933" s="70">
        <f>SUBTOTAL(103,$A$896:A933)</f>
        <v>38</v>
      </c>
      <c r="C933" s="25" t="s">
        <v>633</v>
      </c>
      <c r="D933" s="32">
        <f t="shared" si="423"/>
        <v>1989100.53</v>
      </c>
      <c r="E933" s="32">
        <v>0</v>
      </c>
      <c r="F933" s="32">
        <v>0</v>
      </c>
      <c r="G933" s="32">
        <v>0</v>
      </c>
      <c r="H933" s="32">
        <v>0</v>
      </c>
      <c r="I933" s="32">
        <v>0</v>
      </c>
      <c r="J933" s="32">
        <v>0</v>
      </c>
      <c r="K933" s="34">
        <v>0</v>
      </c>
      <c r="L933" s="32">
        <v>0</v>
      </c>
      <c r="M933" s="32">
        <v>400</v>
      </c>
      <c r="N933" s="32">
        <v>1959704.96</v>
      </c>
      <c r="O933" s="32">
        <v>0</v>
      </c>
      <c r="P933" s="32">
        <v>0</v>
      </c>
      <c r="Q933" s="32">
        <v>0</v>
      </c>
      <c r="R933" s="32">
        <v>0</v>
      </c>
      <c r="S933" s="32">
        <v>0</v>
      </c>
      <c r="T933" s="32">
        <v>0</v>
      </c>
      <c r="U933" s="32">
        <v>0</v>
      </c>
      <c r="V933" s="32">
        <v>0</v>
      </c>
      <c r="W933" s="32">
        <v>0</v>
      </c>
      <c r="X933" s="32">
        <v>0</v>
      </c>
      <c r="Y933" s="32">
        <v>0</v>
      </c>
      <c r="Z933" s="32">
        <v>0</v>
      </c>
      <c r="AA933" s="32">
        <v>0</v>
      </c>
      <c r="AB933" s="32">
        <v>0</v>
      </c>
      <c r="AC933" s="32">
        <f t="shared" si="429"/>
        <v>29395.57</v>
      </c>
      <c r="AD933" s="32">
        <v>0</v>
      </c>
      <c r="AE933" s="32">
        <v>0</v>
      </c>
      <c r="AF933" s="35" t="s">
        <v>275</v>
      </c>
      <c r="AG933" s="35">
        <v>2022</v>
      </c>
      <c r="AH933" s="36">
        <v>2022</v>
      </c>
      <c r="AT933" s="21" t="e">
        <f t="shared" si="425"/>
        <v>#N/A</v>
      </c>
    </row>
    <row r="934" spans="1:46" ht="61.5" x14ac:dyDescent="0.85">
      <c r="A934" s="21">
        <v>1</v>
      </c>
      <c r="B934" s="70">
        <f>SUBTOTAL(103,$A$896:A934)</f>
        <v>39</v>
      </c>
      <c r="C934" s="25" t="s">
        <v>634</v>
      </c>
      <c r="D934" s="32">
        <f t="shared" si="423"/>
        <v>4272967.33</v>
      </c>
      <c r="E934" s="32">
        <v>0</v>
      </c>
      <c r="F934" s="32">
        <v>0</v>
      </c>
      <c r="G934" s="32">
        <v>0</v>
      </c>
      <c r="H934" s="32">
        <v>0</v>
      </c>
      <c r="I934" s="32">
        <v>0</v>
      </c>
      <c r="J934" s="32">
        <v>0</v>
      </c>
      <c r="K934" s="34">
        <v>0</v>
      </c>
      <c r="L934" s="32">
        <v>0</v>
      </c>
      <c r="M934" s="32">
        <v>960</v>
      </c>
      <c r="N934" s="32">
        <v>4209820.03</v>
      </c>
      <c r="O934" s="32">
        <v>0</v>
      </c>
      <c r="P934" s="32">
        <v>0</v>
      </c>
      <c r="Q934" s="32">
        <v>0</v>
      </c>
      <c r="R934" s="32">
        <v>0</v>
      </c>
      <c r="S934" s="32">
        <v>0</v>
      </c>
      <c r="T934" s="32">
        <v>0</v>
      </c>
      <c r="U934" s="32">
        <v>0</v>
      </c>
      <c r="V934" s="32">
        <v>0</v>
      </c>
      <c r="W934" s="32">
        <v>0</v>
      </c>
      <c r="X934" s="32">
        <v>0</v>
      </c>
      <c r="Y934" s="32">
        <v>0</v>
      </c>
      <c r="Z934" s="32">
        <v>0</v>
      </c>
      <c r="AA934" s="32">
        <v>0</v>
      </c>
      <c r="AB934" s="32">
        <v>0</v>
      </c>
      <c r="AC934" s="32">
        <f t="shared" si="429"/>
        <v>63147.3</v>
      </c>
      <c r="AD934" s="32">
        <v>0</v>
      </c>
      <c r="AE934" s="32">
        <v>0</v>
      </c>
      <c r="AF934" s="35" t="s">
        <v>275</v>
      </c>
      <c r="AG934" s="35">
        <v>2022</v>
      </c>
      <c r="AH934" s="36">
        <v>2022</v>
      </c>
      <c r="AT934" s="21" t="e">
        <f t="shared" si="425"/>
        <v>#N/A</v>
      </c>
    </row>
    <row r="935" spans="1:46" ht="61.5" x14ac:dyDescent="0.85">
      <c r="A935" s="21">
        <v>1</v>
      </c>
      <c r="B935" s="70">
        <f>SUBTOTAL(103,$A$896:A935)</f>
        <v>40</v>
      </c>
      <c r="C935" s="25" t="s">
        <v>635</v>
      </c>
      <c r="D935" s="32">
        <f t="shared" si="423"/>
        <v>4272967.33</v>
      </c>
      <c r="E935" s="32">
        <v>0</v>
      </c>
      <c r="F935" s="32">
        <v>0</v>
      </c>
      <c r="G935" s="32">
        <v>0</v>
      </c>
      <c r="H935" s="32">
        <v>0</v>
      </c>
      <c r="I935" s="32">
        <v>0</v>
      </c>
      <c r="J935" s="32">
        <v>0</v>
      </c>
      <c r="K935" s="34">
        <v>0</v>
      </c>
      <c r="L935" s="32">
        <v>0</v>
      </c>
      <c r="M935" s="32">
        <v>960</v>
      </c>
      <c r="N935" s="32">
        <v>4209820.03</v>
      </c>
      <c r="O935" s="32">
        <v>0</v>
      </c>
      <c r="P935" s="32">
        <v>0</v>
      </c>
      <c r="Q935" s="32">
        <v>0</v>
      </c>
      <c r="R935" s="32">
        <v>0</v>
      </c>
      <c r="S935" s="32">
        <v>0</v>
      </c>
      <c r="T935" s="32">
        <v>0</v>
      </c>
      <c r="U935" s="32">
        <v>0</v>
      </c>
      <c r="V935" s="32">
        <v>0</v>
      </c>
      <c r="W935" s="32">
        <v>0</v>
      </c>
      <c r="X935" s="32">
        <v>0</v>
      </c>
      <c r="Y935" s="32">
        <v>0</v>
      </c>
      <c r="Z935" s="32">
        <v>0</v>
      </c>
      <c r="AA935" s="32">
        <v>0</v>
      </c>
      <c r="AB935" s="32">
        <v>0</v>
      </c>
      <c r="AC935" s="32">
        <f t="shared" si="429"/>
        <v>63147.3</v>
      </c>
      <c r="AD935" s="32">
        <v>0</v>
      </c>
      <c r="AE935" s="32">
        <v>0</v>
      </c>
      <c r="AF935" s="35" t="s">
        <v>275</v>
      </c>
      <c r="AG935" s="35">
        <v>2022</v>
      </c>
      <c r="AH935" s="36">
        <v>2022</v>
      </c>
      <c r="AT935" s="21" t="e">
        <f t="shared" ref="AT935:AT943" si="430">VLOOKUP(C935,AW:AX,2,FALSE)</f>
        <v>#N/A</v>
      </c>
    </row>
    <row r="936" spans="1:46" ht="61.5" x14ac:dyDescent="0.85">
      <c r="A936" s="21">
        <v>1</v>
      </c>
      <c r="B936" s="70">
        <f>SUBTOTAL(103,$A$896:A936)</f>
        <v>41</v>
      </c>
      <c r="C936" s="25" t="s">
        <v>636</v>
      </c>
      <c r="D936" s="32">
        <f t="shared" si="423"/>
        <v>1633943.5899999999</v>
      </c>
      <c r="E936" s="32">
        <v>0</v>
      </c>
      <c r="F936" s="32">
        <v>0</v>
      </c>
      <c r="G936" s="32">
        <v>0</v>
      </c>
      <c r="H936" s="32">
        <v>0</v>
      </c>
      <c r="I936" s="32">
        <v>0</v>
      </c>
      <c r="J936" s="32">
        <v>0</v>
      </c>
      <c r="K936" s="34">
        <v>0</v>
      </c>
      <c r="L936" s="32">
        <v>0</v>
      </c>
      <c r="M936" s="32">
        <v>364.8</v>
      </c>
      <c r="N936" s="32">
        <v>1609796.64</v>
      </c>
      <c r="O936" s="32">
        <v>0</v>
      </c>
      <c r="P936" s="32">
        <v>0</v>
      </c>
      <c r="Q936" s="32">
        <v>0</v>
      </c>
      <c r="R936" s="32">
        <v>0</v>
      </c>
      <c r="S936" s="32">
        <v>0</v>
      </c>
      <c r="T936" s="32">
        <v>0</v>
      </c>
      <c r="U936" s="32">
        <v>0</v>
      </c>
      <c r="V936" s="32">
        <v>0</v>
      </c>
      <c r="W936" s="32">
        <v>0</v>
      </c>
      <c r="X936" s="32">
        <v>0</v>
      </c>
      <c r="Y936" s="32">
        <v>0</v>
      </c>
      <c r="Z936" s="32">
        <v>0</v>
      </c>
      <c r="AA936" s="32">
        <v>0</v>
      </c>
      <c r="AB936" s="32">
        <v>0</v>
      </c>
      <c r="AC936" s="32">
        <f t="shared" si="429"/>
        <v>24146.95</v>
      </c>
      <c r="AD936" s="32">
        <v>0</v>
      </c>
      <c r="AE936" s="32">
        <v>0</v>
      </c>
      <c r="AF936" s="35" t="s">
        <v>275</v>
      </c>
      <c r="AG936" s="35">
        <v>2022</v>
      </c>
      <c r="AH936" s="36">
        <v>2022</v>
      </c>
      <c r="AT936" s="21" t="e">
        <f t="shared" si="430"/>
        <v>#N/A</v>
      </c>
    </row>
    <row r="937" spans="1:46" ht="61.5" x14ac:dyDescent="0.85">
      <c r="A937" s="21">
        <v>1</v>
      </c>
      <c r="B937" s="70">
        <f>SUBTOTAL(103,$A$896:A937)</f>
        <v>42</v>
      </c>
      <c r="C937" s="25" t="s">
        <v>637</v>
      </c>
      <c r="D937" s="32">
        <f t="shared" si="423"/>
        <v>4272967.33</v>
      </c>
      <c r="E937" s="32">
        <v>0</v>
      </c>
      <c r="F937" s="32">
        <v>0</v>
      </c>
      <c r="G937" s="32">
        <v>0</v>
      </c>
      <c r="H937" s="32">
        <v>0</v>
      </c>
      <c r="I937" s="32">
        <v>0</v>
      </c>
      <c r="J937" s="32">
        <v>0</v>
      </c>
      <c r="K937" s="34">
        <v>0</v>
      </c>
      <c r="L937" s="32">
        <v>0</v>
      </c>
      <c r="M937" s="32">
        <v>960</v>
      </c>
      <c r="N937" s="32">
        <v>4209820.03</v>
      </c>
      <c r="O937" s="32">
        <v>0</v>
      </c>
      <c r="P937" s="32">
        <v>0</v>
      </c>
      <c r="Q937" s="32">
        <v>0</v>
      </c>
      <c r="R937" s="32">
        <v>0</v>
      </c>
      <c r="S937" s="32">
        <v>0</v>
      </c>
      <c r="T937" s="32">
        <v>0</v>
      </c>
      <c r="U937" s="32">
        <v>0</v>
      </c>
      <c r="V937" s="32">
        <v>0</v>
      </c>
      <c r="W937" s="32">
        <v>0</v>
      </c>
      <c r="X937" s="32">
        <v>0</v>
      </c>
      <c r="Y937" s="32">
        <v>0</v>
      </c>
      <c r="Z937" s="32">
        <v>0</v>
      </c>
      <c r="AA937" s="32">
        <v>0</v>
      </c>
      <c r="AB937" s="32">
        <v>0</v>
      </c>
      <c r="AC937" s="32">
        <f t="shared" si="429"/>
        <v>63147.3</v>
      </c>
      <c r="AD937" s="32">
        <v>0</v>
      </c>
      <c r="AE937" s="32">
        <v>0</v>
      </c>
      <c r="AF937" s="35" t="s">
        <v>275</v>
      </c>
      <c r="AG937" s="35">
        <v>2022</v>
      </c>
      <c r="AH937" s="36">
        <v>2022</v>
      </c>
      <c r="AT937" s="21" t="e">
        <f t="shared" si="430"/>
        <v>#N/A</v>
      </c>
    </row>
    <row r="938" spans="1:46" ht="61.5" x14ac:dyDescent="0.85">
      <c r="A938" s="21">
        <v>1</v>
      </c>
      <c r="B938" s="70">
        <f>SUBTOTAL(103,$A$896:A938)</f>
        <v>43</v>
      </c>
      <c r="C938" s="25" t="s">
        <v>638</v>
      </c>
      <c r="D938" s="32">
        <f t="shared" si="423"/>
        <v>4272967.33</v>
      </c>
      <c r="E938" s="32">
        <v>0</v>
      </c>
      <c r="F938" s="32">
        <v>0</v>
      </c>
      <c r="G938" s="32">
        <v>0</v>
      </c>
      <c r="H938" s="32">
        <v>0</v>
      </c>
      <c r="I938" s="32">
        <v>0</v>
      </c>
      <c r="J938" s="32">
        <v>0</v>
      </c>
      <c r="K938" s="34">
        <v>0</v>
      </c>
      <c r="L938" s="32">
        <v>0</v>
      </c>
      <c r="M938" s="32">
        <v>960</v>
      </c>
      <c r="N938" s="32">
        <v>4209820.03</v>
      </c>
      <c r="O938" s="32">
        <v>0</v>
      </c>
      <c r="P938" s="32">
        <v>0</v>
      </c>
      <c r="Q938" s="32">
        <v>0</v>
      </c>
      <c r="R938" s="32">
        <v>0</v>
      </c>
      <c r="S938" s="32">
        <v>0</v>
      </c>
      <c r="T938" s="32">
        <v>0</v>
      </c>
      <c r="U938" s="32">
        <v>0</v>
      </c>
      <c r="V938" s="32">
        <v>0</v>
      </c>
      <c r="W938" s="32">
        <v>0</v>
      </c>
      <c r="X938" s="32">
        <v>0</v>
      </c>
      <c r="Y938" s="32">
        <v>0</v>
      </c>
      <c r="Z938" s="32">
        <v>0</v>
      </c>
      <c r="AA938" s="32">
        <v>0</v>
      </c>
      <c r="AB938" s="32">
        <v>0</v>
      </c>
      <c r="AC938" s="32">
        <f t="shared" si="429"/>
        <v>63147.3</v>
      </c>
      <c r="AD938" s="32">
        <v>0</v>
      </c>
      <c r="AE938" s="32">
        <v>0</v>
      </c>
      <c r="AF938" s="35" t="s">
        <v>275</v>
      </c>
      <c r="AG938" s="35">
        <v>2022</v>
      </c>
      <c r="AH938" s="36">
        <v>2022</v>
      </c>
      <c r="AT938" s="21" t="e">
        <f t="shared" si="430"/>
        <v>#N/A</v>
      </c>
    </row>
    <row r="939" spans="1:46" ht="61.5" x14ac:dyDescent="0.85">
      <c r="A939" s="21">
        <v>1</v>
      </c>
      <c r="B939" s="70">
        <f>SUBTOTAL(103,$A$896:A939)</f>
        <v>44</v>
      </c>
      <c r="C939" s="25" t="s">
        <v>639</v>
      </c>
      <c r="D939" s="32">
        <f t="shared" si="423"/>
        <v>3064601.1799999997</v>
      </c>
      <c r="E939" s="32">
        <v>0</v>
      </c>
      <c r="F939" s="32">
        <v>0</v>
      </c>
      <c r="G939" s="32">
        <v>0</v>
      </c>
      <c r="H939" s="32">
        <v>0</v>
      </c>
      <c r="I939" s="32">
        <v>0</v>
      </c>
      <c r="J939" s="32">
        <v>0</v>
      </c>
      <c r="K939" s="34">
        <v>0</v>
      </c>
      <c r="L939" s="32">
        <v>0</v>
      </c>
      <c r="M939" s="32">
        <v>670</v>
      </c>
      <c r="N939" s="32">
        <v>3019311.51</v>
      </c>
      <c r="O939" s="32">
        <v>0</v>
      </c>
      <c r="P939" s="32">
        <v>0</v>
      </c>
      <c r="Q939" s="32">
        <v>0</v>
      </c>
      <c r="R939" s="32">
        <v>0</v>
      </c>
      <c r="S939" s="32">
        <v>0</v>
      </c>
      <c r="T939" s="32">
        <v>0</v>
      </c>
      <c r="U939" s="32">
        <v>0</v>
      </c>
      <c r="V939" s="32">
        <v>0</v>
      </c>
      <c r="W939" s="32">
        <v>0</v>
      </c>
      <c r="X939" s="32">
        <v>0</v>
      </c>
      <c r="Y939" s="32">
        <v>0</v>
      </c>
      <c r="Z939" s="32">
        <v>0</v>
      </c>
      <c r="AA939" s="32">
        <v>0</v>
      </c>
      <c r="AB939" s="32">
        <v>0</v>
      </c>
      <c r="AC939" s="32">
        <f t="shared" si="429"/>
        <v>45289.67</v>
      </c>
      <c r="AD939" s="32">
        <v>0</v>
      </c>
      <c r="AE939" s="32">
        <v>0</v>
      </c>
      <c r="AF939" s="35" t="s">
        <v>275</v>
      </c>
      <c r="AG939" s="35">
        <v>2022</v>
      </c>
      <c r="AH939" s="36">
        <v>2022</v>
      </c>
      <c r="AT939" s="21" t="e">
        <f t="shared" si="430"/>
        <v>#N/A</v>
      </c>
    </row>
    <row r="940" spans="1:46" ht="61.5" x14ac:dyDescent="0.85">
      <c r="A940" s="21">
        <v>1</v>
      </c>
      <c r="B940" s="70">
        <f>SUBTOTAL(103,$A$896:A940)</f>
        <v>45</v>
      </c>
      <c r="C940" s="25" t="s">
        <v>640</v>
      </c>
      <c r="D940" s="32">
        <f t="shared" si="423"/>
        <v>1046986.94</v>
      </c>
      <c r="E940" s="32">
        <v>0</v>
      </c>
      <c r="F940" s="32">
        <v>0</v>
      </c>
      <c r="G940" s="32">
        <v>0</v>
      </c>
      <c r="H940" s="32">
        <v>0</v>
      </c>
      <c r="I940" s="32">
        <v>0</v>
      </c>
      <c r="J940" s="32">
        <v>0</v>
      </c>
      <c r="K940" s="34">
        <v>0</v>
      </c>
      <c r="L940" s="32">
        <v>0</v>
      </c>
      <c r="M940" s="32">
        <v>235</v>
      </c>
      <c r="N940" s="32">
        <v>1031514.23</v>
      </c>
      <c r="O940" s="32">
        <v>0</v>
      </c>
      <c r="P940" s="32">
        <v>0</v>
      </c>
      <c r="Q940" s="32">
        <v>0</v>
      </c>
      <c r="R940" s="32">
        <v>0</v>
      </c>
      <c r="S940" s="32">
        <v>0</v>
      </c>
      <c r="T940" s="32">
        <v>0</v>
      </c>
      <c r="U940" s="32">
        <v>0</v>
      </c>
      <c r="V940" s="32">
        <v>0</v>
      </c>
      <c r="W940" s="32">
        <v>0</v>
      </c>
      <c r="X940" s="32">
        <v>0</v>
      </c>
      <c r="Y940" s="32">
        <v>0</v>
      </c>
      <c r="Z940" s="32">
        <v>0</v>
      </c>
      <c r="AA940" s="32">
        <v>0</v>
      </c>
      <c r="AB940" s="32">
        <v>0</v>
      </c>
      <c r="AC940" s="32">
        <f t="shared" si="429"/>
        <v>15472.71</v>
      </c>
      <c r="AD940" s="32">
        <v>0</v>
      </c>
      <c r="AE940" s="32">
        <v>0</v>
      </c>
      <c r="AF940" s="35" t="s">
        <v>275</v>
      </c>
      <c r="AG940" s="35">
        <v>2022</v>
      </c>
      <c r="AH940" s="36">
        <v>2022</v>
      </c>
      <c r="AT940" s="21" t="e">
        <f t="shared" si="430"/>
        <v>#N/A</v>
      </c>
    </row>
    <row r="941" spans="1:46" ht="61.5" x14ac:dyDescent="0.85">
      <c r="A941" s="21">
        <v>1</v>
      </c>
      <c r="B941" s="70">
        <f>SUBTOTAL(103,$A$896:A941)</f>
        <v>46</v>
      </c>
      <c r="C941" s="25" t="s">
        <v>641</v>
      </c>
      <c r="D941" s="32">
        <f t="shared" si="423"/>
        <v>3516149.44</v>
      </c>
      <c r="E941" s="32">
        <v>0</v>
      </c>
      <c r="F941" s="32">
        <v>0</v>
      </c>
      <c r="G941" s="32">
        <v>0</v>
      </c>
      <c r="H941" s="32">
        <v>0</v>
      </c>
      <c r="I941" s="32">
        <v>0</v>
      </c>
      <c r="J941" s="32">
        <v>0</v>
      </c>
      <c r="K941" s="34">
        <v>0</v>
      </c>
      <c r="L941" s="32">
        <v>0</v>
      </c>
      <c r="M941" s="32">
        <v>765</v>
      </c>
      <c r="N941" s="32">
        <v>3464186.64</v>
      </c>
      <c r="O941" s="32">
        <v>0</v>
      </c>
      <c r="P941" s="32">
        <v>0</v>
      </c>
      <c r="Q941" s="32">
        <v>0</v>
      </c>
      <c r="R941" s="32">
        <v>0</v>
      </c>
      <c r="S941" s="32">
        <v>0</v>
      </c>
      <c r="T941" s="32">
        <v>0</v>
      </c>
      <c r="U941" s="32">
        <v>0</v>
      </c>
      <c r="V941" s="32">
        <v>0</v>
      </c>
      <c r="W941" s="32">
        <v>0</v>
      </c>
      <c r="X941" s="32">
        <v>0</v>
      </c>
      <c r="Y941" s="32">
        <v>0</v>
      </c>
      <c r="Z941" s="32">
        <v>0</v>
      </c>
      <c r="AA941" s="32">
        <v>0</v>
      </c>
      <c r="AB941" s="32">
        <v>0</v>
      </c>
      <c r="AC941" s="32">
        <f t="shared" si="429"/>
        <v>51962.8</v>
      </c>
      <c r="AD941" s="32">
        <v>0</v>
      </c>
      <c r="AE941" s="32">
        <v>0</v>
      </c>
      <c r="AF941" s="35" t="s">
        <v>275</v>
      </c>
      <c r="AG941" s="35">
        <v>2022</v>
      </c>
      <c r="AH941" s="36">
        <v>2022</v>
      </c>
      <c r="AT941" s="21" t="e">
        <f t="shared" si="430"/>
        <v>#N/A</v>
      </c>
    </row>
    <row r="942" spans="1:46" ht="61.5" x14ac:dyDescent="0.85">
      <c r="A942" s="21">
        <v>1</v>
      </c>
      <c r="B942" s="70">
        <f>SUBTOTAL(103,$A$896:A942)</f>
        <v>47</v>
      </c>
      <c r="C942" s="25" t="s">
        <v>642</v>
      </c>
      <c r="D942" s="32">
        <f t="shared" si="423"/>
        <v>3493334.35</v>
      </c>
      <c r="E942" s="32">
        <v>0</v>
      </c>
      <c r="F942" s="32">
        <v>0</v>
      </c>
      <c r="G942" s="32">
        <v>0</v>
      </c>
      <c r="H942" s="32">
        <v>0</v>
      </c>
      <c r="I942" s="32">
        <v>0</v>
      </c>
      <c r="J942" s="32">
        <v>0</v>
      </c>
      <c r="K942" s="34">
        <v>0</v>
      </c>
      <c r="L942" s="32">
        <v>0</v>
      </c>
      <c r="M942" s="32">
        <v>760.2</v>
      </c>
      <c r="N942" s="32">
        <v>3441708.72</v>
      </c>
      <c r="O942" s="32">
        <v>0</v>
      </c>
      <c r="P942" s="32">
        <v>0</v>
      </c>
      <c r="Q942" s="32">
        <v>0</v>
      </c>
      <c r="R942" s="32">
        <v>0</v>
      </c>
      <c r="S942" s="32">
        <v>0</v>
      </c>
      <c r="T942" s="32">
        <v>0</v>
      </c>
      <c r="U942" s="32">
        <v>0</v>
      </c>
      <c r="V942" s="32">
        <v>0</v>
      </c>
      <c r="W942" s="32">
        <v>0</v>
      </c>
      <c r="X942" s="32">
        <v>0</v>
      </c>
      <c r="Y942" s="32">
        <v>0</v>
      </c>
      <c r="Z942" s="32">
        <v>0</v>
      </c>
      <c r="AA942" s="32">
        <v>0</v>
      </c>
      <c r="AB942" s="32">
        <v>0</v>
      </c>
      <c r="AC942" s="32">
        <f t="shared" si="429"/>
        <v>51625.63</v>
      </c>
      <c r="AD942" s="32">
        <v>0</v>
      </c>
      <c r="AE942" s="32">
        <v>0</v>
      </c>
      <c r="AF942" s="35" t="s">
        <v>275</v>
      </c>
      <c r="AG942" s="35">
        <v>2022</v>
      </c>
      <c r="AH942" s="36">
        <v>2022</v>
      </c>
      <c r="AT942" s="21" t="e">
        <f t="shared" si="430"/>
        <v>#N/A</v>
      </c>
    </row>
    <row r="943" spans="1:46" ht="61.5" x14ac:dyDescent="0.85">
      <c r="A943" s="21">
        <v>1</v>
      </c>
      <c r="B943" s="70">
        <f>SUBTOTAL(103,$A$896:A943)</f>
        <v>48</v>
      </c>
      <c r="C943" s="25" t="s">
        <v>643</v>
      </c>
      <c r="D943" s="32">
        <f t="shared" si="423"/>
        <v>2597653.14</v>
      </c>
      <c r="E943" s="32">
        <v>0</v>
      </c>
      <c r="F943" s="32">
        <v>0</v>
      </c>
      <c r="G943" s="32">
        <v>0</v>
      </c>
      <c r="H943" s="32">
        <v>0</v>
      </c>
      <c r="I943" s="32">
        <v>0</v>
      </c>
      <c r="J943" s="32">
        <v>0</v>
      </c>
      <c r="K943" s="34">
        <v>0</v>
      </c>
      <c r="L943" s="32">
        <v>0</v>
      </c>
      <c r="M943" s="32">
        <v>571.76</v>
      </c>
      <c r="N943" s="32">
        <v>2559264.1800000002</v>
      </c>
      <c r="O943" s="32">
        <v>0</v>
      </c>
      <c r="P943" s="32">
        <v>0</v>
      </c>
      <c r="Q943" s="32">
        <v>0</v>
      </c>
      <c r="R943" s="32">
        <v>0</v>
      </c>
      <c r="S943" s="32">
        <v>0</v>
      </c>
      <c r="T943" s="32">
        <v>0</v>
      </c>
      <c r="U943" s="32">
        <v>0</v>
      </c>
      <c r="V943" s="32">
        <v>0</v>
      </c>
      <c r="W943" s="32">
        <v>0</v>
      </c>
      <c r="X943" s="32">
        <v>0</v>
      </c>
      <c r="Y943" s="32">
        <v>0</v>
      </c>
      <c r="Z943" s="32">
        <v>0</v>
      </c>
      <c r="AA943" s="32">
        <v>0</v>
      </c>
      <c r="AB943" s="32">
        <v>0</v>
      </c>
      <c r="AC943" s="32">
        <f t="shared" si="429"/>
        <v>38388.959999999999</v>
      </c>
      <c r="AD943" s="32">
        <v>0</v>
      </c>
      <c r="AE943" s="32">
        <v>0</v>
      </c>
      <c r="AF943" s="35" t="s">
        <v>275</v>
      </c>
      <c r="AG943" s="35">
        <v>2022</v>
      </c>
      <c r="AH943" s="36">
        <v>2022</v>
      </c>
      <c r="AT943" s="21" t="e">
        <f t="shared" si="430"/>
        <v>#N/A</v>
      </c>
    </row>
    <row r="944" spans="1:46" ht="61.5" x14ac:dyDescent="0.85">
      <c r="A944" s="21">
        <v>1</v>
      </c>
      <c r="B944" s="70">
        <f>SUBTOTAL(103,$A$896:A944)</f>
        <v>49</v>
      </c>
      <c r="C944" s="25" t="s">
        <v>1489</v>
      </c>
      <c r="D944" s="32">
        <f t="shared" si="423"/>
        <v>7840331.7599999998</v>
      </c>
      <c r="E944" s="32">
        <v>0</v>
      </c>
      <c r="F944" s="32">
        <v>0</v>
      </c>
      <c r="G944" s="32">
        <v>0</v>
      </c>
      <c r="H944" s="32">
        <v>0</v>
      </c>
      <c r="I944" s="32">
        <v>0</v>
      </c>
      <c r="J944" s="32">
        <v>0</v>
      </c>
      <c r="K944" s="34">
        <v>0</v>
      </c>
      <c r="L944" s="32">
        <v>0</v>
      </c>
      <c r="M944" s="32">
        <v>2314</v>
      </c>
      <c r="N944" s="32">
        <v>7724464.79</v>
      </c>
      <c r="O944" s="32">
        <v>0</v>
      </c>
      <c r="P944" s="32">
        <v>0</v>
      </c>
      <c r="Q944" s="32">
        <v>0</v>
      </c>
      <c r="R944" s="32">
        <v>0</v>
      </c>
      <c r="S944" s="32">
        <v>0</v>
      </c>
      <c r="T944" s="32">
        <v>0</v>
      </c>
      <c r="U944" s="32">
        <v>0</v>
      </c>
      <c r="V944" s="32">
        <v>0</v>
      </c>
      <c r="W944" s="32">
        <v>0</v>
      </c>
      <c r="X944" s="32">
        <v>0</v>
      </c>
      <c r="Y944" s="32">
        <v>0</v>
      </c>
      <c r="Z944" s="32">
        <v>0</v>
      </c>
      <c r="AA944" s="32">
        <v>0</v>
      </c>
      <c r="AB944" s="32">
        <v>0</v>
      </c>
      <c r="AC944" s="32">
        <f t="shared" si="429"/>
        <v>115866.97</v>
      </c>
      <c r="AD944" s="32">
        <v>0</v>
      </c>
      <c r="AE944" s="32">
        <v>0</v>
      </c>
      <c r="AF944" s="35" t="s">
        <v>275</v>
      </c>
      <c r="AG944" s="35">
        <v>2022</v>
      </c>
      <c r="AH944" s="36">
        <v>2022</v>
      </c>
    </row>
    <row r="945" spans="1:46" ht="61.5" x14ac:dyDescent="0.85">
      <c r="A945" s="21">
        <v>1</v>
      </c>
      <c r="B945" s="70">
        <f>SUBTOTAL(103,$A$896:A945)</f>
        <v>50</v>
      </c>
      <c r="C945" s="25" t="s">
        <v>644</v>
      </c>
      <c r="D945" s="32">
        <f t="shared" si="423"/>
        <v>6342333</v>
      </c>
      <c r="E945" s="32">
        <v>0</v>
      </c>
      <c r="F945" s="32">
        <v>0</v>
      </c>
      <c r="G945" s="32">
        <v>0</v>
      </c>
      <c r="H945" s="32">
        <v>0</v>
      </c>
      <c r="I945" s="32">
        <v>0</v>
      </c>
      <c r="J945" s="32">
        <v>0</v>
      </c>
      <c r="K945" s="34">
        <v>3</v>
      </c>
      <c r="L945" s="32">
        <v>6342333</v>
      </c>
      <c r="M945" s="32">
        <v>0</v>
      </c>
      <c r="N945" s="32">
        <v>0</v>
      </c>
      <c r="O945" s="32">
        <v>0</v>
      </c>
      <c r="P945" s="32">
        <v>0</v>
      </c>
      <c r="Q945" s="32">
        <v>0</v>
      </c>
      <c r="R945" s="32">
        <v>0</v>
      </c>
      <c r="S945" s="32">
        <v>0</v>
      </c>
      <c r="T945" s="32">
        <v>0</v>
      </c>
      <c r="U945" s="32">
        <v>0</v>
      </c>
      <c r="V945" s="32">
        <v>0</v>
      </c>
      <c r="W945" s="32">
        <v>0</v>
      </c>
      <c r="X945" s="32">
        <v>0</v>
      </c>
      <c r="Y945" s="32">
        <v>0</v>
      </c>
      <c r="Z945" s="32">
        <v>0</v>
      </c>
      <c r="AA945" s="32">
        <v>0</v>
      </c>
      <c r="AB945" s="32">
        <v>0</v>
      </c>
      <c r="AC945" s="32">
        <v>0</v>
      </c>
      <c r="AD945" s="32">
        <v>0</v>
      </c>
      <c r="AE945" s="32">
        <v>0</v>
      </c>
      <c r="AF945" s="35" t="s">
        <v>275</v>
      </c>
      <c r="AG945" s="35">
        <v>2022</v>
      </c>
      <c r="AH945" s="36" t="s">
        <v>275</v>
      </c>
      <c r="AT945" s="21" t="e">
        <f t="shared" ref="AT945:AT976" si="431">VLOOKUP(C945,AW:AX,2,FALSE)</f>
        <v>#N/A</v>
      </c>
    </row>
    <row r="946" spans="1:46" ht="61.5" x14ac:dyDescent="0.85">
      <c r="A946" s="21">
        <v>1</v>
      </c>
      <c r="B946" s="70">
        <f>SUBTOTAL(103,$A$896:A946)</f>
        <v>51</v>
      </c>
      <c r="C946" s="25" t="s">
        <v>645</v>
      </c>
      <c r="D946" s="32">
        <f t="shared" si="423"/>
        <v>4404985.5199999996</v>
      </c>
      <c r="E946" s="32">
        <v>0</v>
      </c>
      <c r="F946" s="32">
        <v>0</v>
      </c>
      <c r="G946" s="32">
        <v>0</v>
      </c>
      <c r="H946" s="32">
        <v>0</v>
      </c>
      <c r="I946" s="32">
        <v>0</v>
      </c>
      <c r="J946" s="32">
        <v>0</v>
      </c>
      <c r="K946" s="34">
        <v>0</v>
      </c>
      <c r="L946" s="32">
        <v>0</v>
      </c>
      <c r="M946" s="32">
        <v>952</v>
      </c>
      <c r="N946" s="32">
        <v>4339887.21</v>
      </c>
      <c r="O946" s="32">
        <v>0</v>
      </c>
      <c r="P946" s="32">
        <v>0</v>
      </c>
      <c r="Q946" s="32">
        <v>0</v>
      </c>
      <c r="R946" s="32">
        <v>0</v>
      </c>
      <c r="S946" s="32">
        <v>0</v>
      </c>
      <c r="T946" s="32">
        <v>0</v>
      </c>
      <c r="U946" s="32">
        <v>0</v>
      </c>
      <c r="V946" s="32">
        <v>0</v>
      </c>
      <c r="W946" s="32">
        <v>0</v>
      </c>
      <c r="X946" s="32">
        <v>0</v>
      </c>
      <c r="Y946" s="32">
        <v>0</v>
      </c>
      <c r="Z946" s="32">
        <v>0</v>
      </c>
      <c r="AA946" s="32">
        <v>0</v>
      </c>
      <c r="AB946" s="32">
        <v>0</v>
      </c>
      <c r="AC946" s="32">
        <f t="shared" ref="AC946:AC951" si="432">ROUND(N946*1.5%,2)</f>
        <v>65098.31</v>
      </c>
      <c r="AD946" s="32">
        <v>0</v>
      </c>
      <c r="AE946" s="32">
        <v>0</v>
      </c>
      <c r="AF946" s="35" t="s">
        <v>275</v>
      </c>
      <c r="AG946" s="35">
        <v>2022</v>
      </c>
      <c r="AH946" s="36">
        <v>2022</v>
      </c>
      <c r="AT946" s="21" t="e">
        <f t="shared" si="431"/>
        <v>#N/A</v>
      </c>
    </row>
    <row r="947" spans="1:46" ht="61.5" x14ac:dyDescent="0.85">
      <c r="A947" s="21">
        <v>1</v>
      </c>
      <c r="B947" s="70">
        <f>SUBTOTAL(103,$A$896:A947)</f>
        <v>52</v>
      </c>
      <c r="C947" s="25" t="s">
        <v>646</v>
      </c>
      <c r="D947" s="32">
        <f t="shared" si="423"/>
        <v>7371186.2199999997</v>
      </c>
      <c r="E947" s="32">
        <v>0</v>
      </c>
      <c r="F947" s="32">
        <v>0</v>
      </c>
      <c r="G947" s="32">
        <v>0</v>
      </c>
      <c r="H947" s="32">
        <v>0</v>
      </c>
      <c r="I947" s="32">
        <v>0</v>
      </c>
      <c r="J947" s="32">
        <v>0</v>
      </c>
      <c r="K947" s="34">
        <v>0</v>
      </c>
      <c r="L947" s="32">
        <v>0</v>
      </c>
      <c r="M947" s="32">
        <v>1626.8</v>
      </c>
      <c r="N947" s="32">
        <v>7262252.4299999997</v>
      </c>
      <c r="O947" s="32">
        <v>0</v>
      </c>
      <c r="P947" s="32">
        <v>0</v>
      </c>
      <c r="Q947" s="32">
        <v>0</v>
      </c>
      <c r="R947" s="32">
        <v>0</v>
      </c>
      <c r="S947" s="32">
        <v>0</v>
      </c>
      <c r="T947" s="32">
        <v>0</v>
      </c>
      <c r="U947" s="32">
        <v>0</v>
      </c>
      <c r="V947" s="32">
        <v>0</v>
      </c>
      <c r="W947" s="32">
        <v>0</v>
      </c>
      <c r="X947" s="32">
        <v>0</v>
      </c>
      <c r="Y947" s="32">
        <v>0</v>
      </c>
      <c r="Z947" s="32">
        <v>0</v>
      </c>
      <c r="AA947" s="32">
        <v>0</v>
      </c>
      <c r="AB947" s="32">
        <v>0</v>
      </c>
      <c r="AC947" s="32">
        <f t="shared" si="432"/>
        <v>108933.79</v>
      </c>
      <c r="AD947" s="32">
        <v>0</v>
      </c>
      <c r="AE947" s="32">
        <v>0</v>
      </c>
      <c r="AF947" s="35" t="s">
        <v>275</v>
      </c>
      <c r="AG947" s="35">
        <v>2022</v>
      </c>
      <c r="AH947" s="36">
        <v>2022</v>
      </c>
      <c r="AT947" s="21" t="e">
        <f t="shared" si="431"/>
        <v>#N/A</v>
      </c>
    </row>
    <row r="948" spans="1:46" ht="61.5" x14ac:dyDescent="0.85">
      <c r="A948" s="21">
        <v>1</v>
      </c>
      <c r="B948" s="70">
        <f>SUBTOTAL(103,$A$896:A948)</f>
        <v>53</v>
      </c>
      <c r="C948" s="25" t="s">
        <v>647</v>
      </c>
      <c r="D948" s="32">
        <f t="shared" si="423"/>
        <v>3550462.6100000003</v>
      </c>
      <c r="E948" s="32">
        <v>0</v>
      </c>
      <c r="F948" s="32">
        <v>0</v>
      </c>
      <c r="G948" s="32">
        <v>0</v>
      </c>
      <c r="H948" s="32">
        <v>0</v>
      </c>
      <c r="I948" s="32">
        <v>0</v>
      </c>
      <c r="J948" s="32">
        <v>0</v>
      </c>
      <c r="K948" s="34">
        <v>0</v>
      </c>
      <c r="L948" s="32">
        <v>0</v>
      </c>
      <c r="M948" s="32">
        <v>807.01</v>
      </c>
      <c r="N948" s="32">
        <v>3497992.72</v>
      </c>
      <c r="O948" s="32">
        <v>0</v>
      </c>
      <c r="P948" s="32">
        <v>0</v>
      </c>
      <c r="Q948" s="32">
        <v>0</v>
      </c>
      <c r="R948" s="32">
        <v>0</v>
      </c>
      <c r="S948" s="32">
        <v>0</v>
      </c>
      <c r="T948" s="32">
        <v>0</v>
      </c>
      <c r="U948" s="32">
        <v>0</v>
      </c>
      <c r="V948" s="32">
        <v>0</v>
      </c>
      <c r="W948" s="32">
        <v>0</v>
      </c>
      <c r="X948" s="32">
        <v>0</v>
      </c>
      <c r="Y948" s="32">
        <v>0</v>
      </c>
      <c r="Z948" s="32">
        <v>0</v>
      </c>
      <c r="AA948" s="32">
        <v>0</v>
      </c>
      <c r="AB948" s="32">
        <v>0</v>
      </c>
      <c r="AC948" s="32">
        <f t="shared" si="432"/>
        <v>52469.89</v>
      </c>
      <c r="AD948" s="32">
        <v>0</v>
      </c>
      <c r="AE948" s="32">
        <v>0</v>
      </c>
      <c r="AF948" s="35" t="s">
        <v>275</v>
      </c>
      <c r="AG948" s="35">
        <v>2022</v>
      </c>
      <c r="AH948" s="36">
        <v>2022</v>
      </c>
      <c r="AT948" s="21" t="e">
        <f t="shared" si="431"/>
        <v>#N/A</v>
      </c>
    </row>
    <row r="949" spans="1:46" ht="61.5" x14ac:dyDescent="0.85">
      <c r="A949" s="21">
        <v>1</v>
      </c>
      <c r="B949" s="70">
        <f>SUBTOTAL(103,$A$896:A949)</f>
        <v>54</v>
      </c>
      <c r="C949" s="25" t="s">
        <v>648</v>
      </c>
      <c r="D949" s="32">
        <f t="shared" si="423"/>
        <v>4265711.66</v>
      </c>
      <c r="E949" s="32">
        <v>0</v>
      </c>
      <c r="F949" s="32">
        <v>0</v>
      </c>
      <c r="G949" s="32">
        <v>0</v>
      </c>
      <c r="H949" s="32">
        <v>0</v>
      </c>
      <c r="I949" s="32">
        <v>0</v>
      </c>
      <c r="J949" s="32">
        <v>0</v>
      </c>
      <c r="K949" s="34">
        <v>0</v>
      </c>
      <c r="L949" s="32">
        <v>0</v>
      </c>
      <c r="M949" s="32">
        <v>975</v>
      </c>
      <c r="N949" s="32">
        <v>4202671.59</v>
      </c>
      <c r="O949" s="32">
        <v>0</v>
      </c>
      <c r="P949" s="32">
        <v>0</v>
      </c>
      <c r="Q949" s="32">
        <v>0</v>
      </c>
      <c r="R949" s="32">
        <v>0</v>
      </c>
      <c r="S949" s="32">
        <v>0</v>
      </c>
      <c r="T949" s="32">
        <v>0</v>
      </c>
      <c r="U949" s="32">
        <v>0</v>
      </c>
      <c r="V949" s="32">
        <v>0</v>
      </c>
      <c r="W949" s="32">
        <v>0</v>
      </c>
      <c r="X949" s="32">
        <v>0</v>
      </c>
      <c r="Y949" s="32">
        <v>0</v>
      </c>
      <c r="Z949" s="32">
        <v>0</v>
      </c>
      <c r="AA949" s="32">
        <v>0</v>
      </c>
      <c r="AB949" s="32">
        <v>0</v>
      </c>
      <c r="AC949" s="32">
        <f t="shared" si="432"/>
        <v>63040.07</v>
      </c>
      <c r="AD949" s="32">
        <v>0</v>
      </c>
      <c r="AE949" s="32">
        <v>0</v>
      </c>
      <c r="AF949" s="35" t="s">
        <v>275</v>
      </c>
      <c r="AG949" s="35">
        <v>2022</v>
      </c>
      <c r="AH949" s="36">
        <v>2022</v>
      </c>
      <c r="AT949" s="21" t="e">
        <f t="shared" si="431"/>
        <v>#N/A</v>
      </c>
    </row>
    <row r="950" spans="1:46" ht="61.5" x14ac:dyDescent="0.85">
      <c r="A950" s="21">
        <v>1</v>
      </c>
      <c r="B950" s="70">
        <f>SUBTOTAL(103,$A$896:A950)</f>
        <v>55</v>
      </c>
      <c r="C950" s="25" t="s">
        <v>649</v>
      </c>
      <c r="D950" s="32">
        <f t="shared" si="423"/>
        <v>3545858.66</v>
      </c>
      <c r="E950" s="32">
        <v>0</v>
      </c>
      <c r="F950" s="32">
        <v>0</v>
      </c>
      <c r="G950" s="32">
        <v>0</v>
      </c>
      <c r="H950" s="32">
        <v>0</v>
      </c>
      <c r="I950" s="32">
        <v>0</v>
      </c>
      <c r="J950" s="32">
        <v>0</v>
      </c>
      <c r="K950" s="34">
        <v>0</v>
      </c>
      <c r="L950" s="32">
        <v>0</v>
      </c>
      <c r="M950" s="32">
        <v>771.25</v>
      </c>
      <c r="N950" s="32">
        <v>3493456.81</v>
      </c>
      <c r="O950" s="32">
        <v>0</v>
      </c>
      <c r="P950" s="32">
        <v>0</v>
      </c>
      <c r="Q950" s="32">
        <v>0</v>
      </c>
      <c r="R950" s="32">
        <v>0</v>
      </c>
      <c r="S950" s="32">
        <v>0</v>
      </c>
      <c r="T950" s="32">
        <v>0</v>
      </c>
      <c r="U950" s="32">
        <v>0</v>
      </c>
      <c r="V950" s="32">
        <v>0</v>
      </c>
      <c r="W950" s="32">
        <v>0</v>
      </c>
      <c r="X950" s="32">
        <v>0</v>
      </c>
      <c r="Y950" s="32">
        <v>0</v>
      </c>
      <c r="Z950" s="32">
        <v>0</v>
      </c>
      <c r="AA950" s="32">
        <v>0</v>
      </c>
      <c r="AB950" s="32">
        <v>0</v>
      </c>
      <c r="AC950" s="32">
        <f t="shared" si="432"/>
        <v>52401.85</v>
      </c>
      <c r="AD950" s="32">
        <v>0</v>
      </c>
      <c r="AE950" s="32">
        <v>0</v>
      </c>
      <c r="AF950" s="35" t="s">
        <v>275</v>
      </c>
      <c r="AG950" s="35">
        <v>2022</v>
      </c>
      <c r="AH950" s="36">
        <v>2022</v>
      </c>
      <c r="AT950" s="21" t="e">
        <f t="shared" si="431"/>
        <v>#N/A</v>
      </c>
    </row>
    <row r="951" spans="1:46" ht="61.5" x14ac:dyDescent="0.85">
      <c r="A951" s="21">
        <v>1</v>
      </c>
      <c r="B951" s="70">
        <f>SUBTOTAL(103,$A$896:A951)</f>
        <v>56</v>
      </c>
      <c r="C951" s="25" t="s">
        <v>650</v>
      </c>
      <c r="D951" s="32">
        <f t="shared" si="423"/>
        <v>4460834.87</v>
      </c>
      <c r="E951" s="32">
        <v>0</v>
      </c>
      <c r="F951" s="32">
        <v>0</v>
      </c>
      <c r="G951" s="32">
        <v>0</v>
      </c>
      <c r="H951" s="32">
        <v>0</v>
      </c>
      <c r="I951" s="32">
        <v>0</v>
      </c>
      <c r="J951" s="32">
        <v>0</v>
      </c>
      <c r="K951" s="34">
        <v>0</v>
      </c>
      <c r="L951" s="32">
        <v>0</v>
      </c>
      <c r="M951" s="32">
        <v>963.75</v>
      </c>
      <c r="N951" s="32">
        <v>4394911.2</v>
      </c>
      <c r="O951" s="32">
        <v>0</v>
      </c>
      <c r="P951" s="32">
        <v>0</v>
      </c>
      <c r="Q951" s="32">
        <v>0</v>
      </c>
      <c r="R951" s="32">
        <v>0</v>
      </c>
      <c r="S951" s="32">
        <v>0</v>
      </c>
      <c r="T951" s="32">
        <v>0</v>
      </c>
      <c r="U951" s="32">
        <v>0</v>
      </c>
      <c r="V951" s="32">
        <v>0</v>
      </c>
      <c r="W951" s="32">
        <v>0</v>
      </c>
      <c r="X951" s="32">
        <v>0</v>
      </c>
      <c r="Y951" s="32">
        <v>0</v>
      </c>
      <c r="Z951" s="32">
        <v>0</v>
      </c>
      <c r="AA951" s="32">
        <v>0</v>
      </c>
      <c r="AB951" s="32">
        <v>0</v>
      </c>
      <c r="AC951" s="32">
        <f t="shared" si="432"/>
        <v>65923.67</v>
      </c>
      <c r="AD951" s="32">
        <v>0</v>
      </c>
      <c r="AE951" s="32">
        <v>0</v>
      </c>
      <c r="AF951" s="35" t="s">
        <v>275</v>
      </c>
      <c r="AG951" s="35">
        <v>2022</v>
      </c>
      <c r="AH951" s="36">
        <v>2022</v>
      </c>
      <c r="AT951" s="21" t="e">
        <f t="shared" si="431"/>
        <v>#N/A</v>
      </c>
    </row>
    <row r="952" spans="1:46" ht="61.5" x14ac:dyDescent="0.85">
      <c r="A952" s="21">
        <v>1</v>
      </c>
      <c r="B952" s="70">
        <f>SUBTOTAL(103,$A$896:A952)</f>
        <v>57</v>
      </c>
      <c r="C952" s="25" t="s">
        <v>518</v>
      </c>
      <c r="D952" s="32">
        <f t="shared" si="423"/>
        <v>2100000</v>
      </c>
      <c r="E952" s="32">
        <v>0</v>
      </c>
      <c r="F952" s="32">
        <v>0</v>
      </c>
      <c r="G952" s="32">
        <v>0</v>
      </c>
      <c r="H952" s="32">
        <v>0</v>
      </c>
      <c r="I952" s="32">
        <v>0</v>
      </c>
      <c r="J952" s="32">
        <v>0</v>
      </c>
      <c r="K952" s="34">
        <v>1</v>
      </c>
      <c r="L952" s="32">
        <v>2100000</v>
      </c>
      <c r="M952" s="32">
        <v>0</v>
      </c>
      <c r="N952" s="32">
        <v>0</v>
      </c>
      <c r="O952" s="32">
        <v>0</v>
      </c>
      <c r="P952" s="32">
        <v>0</v>
      </c>
      <c r="Q952" s="32">
        <v>0</v>
      </c>
      <c r="R952" s="32">
        <v>0</v>
      </c>
      <c r="S952" s="32">
        <v>0</v>
      </c>
      <c r="T952" s="32">
        <v>0</v>
      </c>
      <c r="U952" s="32">
        <v>0</v>
      </c>
      <c r="V952" s="32">
        <v>0</v>
      </c>
      <c r="W952" s="32">
        <v>0</v>
      </c>
      <c r="X952" s="32">
        <v>0</v>
      </c>
      <c r="Y952" s="32">
        <v>0</v>
      </c>
      <c r="Z952" s="32">
        <v>0</v>
      </c>
      <c r="AA952" s="32">
        <v>0</v>
      </c>
      <c r="AB952" s="32">
        <v>0</v>
      </c>
      <c r="AC952" s="32">
        <v>0</v>
      </c>
      <c r="AD952" s="32">
        <v>0</v>
      </c>
      <c r="AE952" s="32">
        <v>0</v>
      </c>
      <c r="AF952" s="35" t="s">
        <v>275</v>
      </c>
      <c r="AG952" s="35">
        <v>2022</v>
      </c>
      <c r="AH952" s="36" t="s">
        <v>275</v>
      </c>
      <c r="AT952" s="21" t="e">
        <f t="shared" si="431"/>
        <v>#N/A</v>
      </c>
    </row>
    <row r="953" spans="1:46" ht="61.5" x14ac:dyDescent="0.85">
      <c r="A953" s="21">
        <v>1</v>
      </c>
      <c r="B953" s="70">
        <f>SUBTOTAL(103,$A$896:A953)</f>
        <v>58</v>
      </c>
      <c r="C953" s="25" t="s">
        <v>1144</v>
      </c>
      <c r="D953" s="32">
        <f t="shared" si="423"/>
        <v>6300000</v>
      </c>
      <c r="E953" s="32">
        <v>0</v>
      </c>
      <c r="F953" s="32">
        <v>0</v>
      </c>
      <c r="G953" s="32">
        <v>0</v>
      </c>
      <c r="H953" s="32">
        <v>0</v>
      </c>
      <c r="I953" s="32">
        <v>0</v>
      </c>
      <c r="J953" s="32">
        <v>0</v>
      </c>
      <c r="K953" s="34">
        <v>3</v>
      </c>
      <c r="L953" s="32">
        <v>6300000</v>
      </c>
      <c r="M953" s="32">
        <v>0</v>
      </c>
      <c r="N953" s="32">
        <v>0</v>
      </c>
      <c r="O953" s="32">
        <v>0</v>
      </c>
      <c r="P953" s="32">
        <v>0</v>
      </c>
      <c r="Q953" s="32">
        <v>0</v>
      </c>
      <c r="R953" s="32">
        <v>0</v>
      </c>
      <c r="S953" s="32">
        <v>0</v>
      </c>
      <c r="T953" s="32">
        <v>0</v>
      </c>
      <c r="U953" s="32">
        <v>0</v>
      </c>
      <c r="V953" s="32">
        <v>0</v>
      </c>
      <c r="W953" s="32">
        <v>0</v>
      </c>
      <c r="X953" s="32">
        <v>0</v>
      </c>
      <c r="Y953" s="32">
        <v>0</v>
      </c>
      <c r="Z953" s="32">
        <v>0</v>
      </c>
      <c r="AA953" s="32">
        <v>0</v>
      </c>
      <c r="AB953" s="32">
        <v>0</v>
      </c>
      <c r="AC953" s="32">
        <v>0</v>
      </c>
      <c r="AD953" s="32">
        <v>0</v>
      </c>
      <c r="AE953" s="32">
        <v>0</v>
      </c>
      <c r="AF953" s="35" t="s">
        <v>275</v>
      </c>
      <c r="AG953" s="35">
        <v>2022</v>
      </c>
      <c r="AH953" s="36" t="s">
        <v>275</v>
      </c>
      <c r="AT953" s="21" t="e">
        <f t="shared" si="431"/>
        <v>#N/A</v>
      </c>
    </row>
    <row r="954" spans="1:46" ht="61.5" x14ac:dyDescent="0.85">
      <c r="B954" s="25" t="s">
        <v>806</v>
      </c>
      <c r="C954" s="110"/>
      <c r="D954" s="32">
        <f>SUM(D955:D968)</f>
        <v>45048314.759999998</v>
      </c>
      <c r="E954" s="32">
        <f t="shared" ref="E954:AE954" si="433">SUM(E955:E968)</f>
        <v>0</v>
      </c>
      <c r="F954" s="32">
        <f t="shared" si="433"/>
        <v>0</v>
      </c>
      <c r="G954" s="32">
        <f t="shared" si="433"/>
        <v>0</v>
      </c>
      <c r="H954" s="32">
        <f t="shared" si="433"/>
        <v>415281.24</v>
      </c>
      <c r="I954" s="32">
        <f t="shared" si="433"/>
        <v>0</v>
      </c>
      <c r="J954" s="32">
        <f t="shared" si="433"/>
        <v>0</v>
      </c>
      <c r="K954" s="34">
        <f t="shared" si="433"/>
        <v>0</v>
      </c>
      <c r="L954" s="32">
        <f t="shared" si="433"/>
        <v>0</v>
      </c>
      <c r="M954" s="32">
        <f t="shared" si="433"/>
        <v>7458.2100000000009</v>
      </c>
      <c r="N954" s="32">
        <f t="shared" si="433"/>
        <v>39077542.520000003</v>
      </c>
      <c r="O954" s="32">
        <f t="shared" si="433"/>
        <v>0</v>
      </c>
      <c r="P954" s="32">
        <f t="shared" si="433"/>
        <v>0</v>
      </c>
      <c r="Q954" s="32">
        <f t="shared" si="433"/>
        <v>0</v>
      </c>
      <c r="R954" s="32">
        <f t="shared" si="433"/>
        <v>0</v>
      </c>
      <c r="S954" s="32">
        <f t="shared" si="433"/>
        <v>51</v>
      </c>
      <c r="T954" s="32">
        <f t="shared" si="433"/>
        <v>2929161.22</v>
      </c>
      <c r="U954" s="32">
        <f t="shared" si="433"/>
        <v>0</v>
      </c>
      <c r="V954" s="32">
        <f t="shared" si="433"/>
        <v>0</v>
      </c>
      <c r="W954" s="32">
        <f t="shared" si="433"/>
        <v>0</v>
      </c>
      <c r="X954" s="32">
        <f t="shared" si="433"/>
        <v>0</v>
      </c>
      <c r="Y954" s="32">
        <f t="shared" si="433"/>
        <v>0</v>
      </c>
      <c r="Z954" s="32">
        <f t="shared" si="433"/>
        <v>0</v>
      </c>
      <c r="AA954" s="32">
        <f t="shared" si="433"/>
        <v>0</v>
      </c>
      <c r="AB954" s="32">
        <f t="shared" si="433"/>
        <v>0</v>
      </c>
      <c r="AC954" s="32">
        <f t="shared" si="433"/>
        <v>636329.77999999991</v>
      </c>
      <c r="AD954" s="32">
        <f t="shared" si="433"/>
        <v>1990000</v>
      </c>
      <c r="AE954" s="32">
        <f t="shared" si="433"/>
        <v>0</v>
      </c>
      <c r="AF954" s="77" t="s">
        <v>801</v>
      </c>
      <c r="AG954" s="77" t="s">
        <v>801</v>
      </c>
      <c r="AH954" s="107" t="s">
        <v>801</v>
      </c>
      <c r="AT954" s="21" t="e">
        <f t="shared" si="431"/>
        <v>#N/A</v>
      </c>
    </row>
    <row r="955" spans="1:46" ht="61.5" x14ac:dyDescent="0.85">
      <c r="A955" s="21">
        <v>1</v>
      </c>
      <c r="B955" s="70">
        <f>SUBTOTAL(103,$A$896:A955)</f>
        <v>59</v>
      </c>
      <c r="C955" s="25" t="s">
        <v>487</v>
      </c>
      <c r="D955" s="32">
        <f t="shared" ref="D955:D968" si="434">E955+F955+G955+H955+I955+J955+L955+N955+P955+R955+T955+U955+V955+W955+X955+Y955+Z955+AA955+AB955+AC955+AD955+AE955</f>
        <v>3951259.39</v>
      </c>
      <c r="E955" s="33">
        <v>0</v>
      </c>
      <c r="F955" s="33">
        <v>0</v>
      </c>
      <c r="G955" s="33">
        <v>0</v>
      </c>
      <c r="H955" s="33">
        <v>0</v>
      </c>
      <c r="I955" s="33">
        <v>0</v>
      </c>
      <c r="J955" s="33">
        <v>0</v>
      </c>
      <c r="K955" s="94">
        <v>0</v>
      </c>
      <c r="L955" s="33">
        <v>0</v>
      </c>
      <c r="M955" s="32">
        <v>648.4</v>
      </c>
      <c r="N955" s="32">
        <v>3745083.14</v>
      </c>
      <c r="O955" s="33">
        <v>0</v>
      </c>
      <c r="P955" s="33">
        <v>0</v>
      </c>
      <c r="Q955" s="33">
        <v>0</v>
      </c>
      <c r="R955" s="33">
        <v>0</v>
      </c>
      <c r="S955" s="33">
        <v>0</v>
      </c>
      <c r="T955" s="33">
        <v>0</v>
      </c>
      <c r="U955" s="33">
        <v>0</v>
      </c>
      <c r="V955" s="33">
        <v>0</v>
      </c>
      <c r="W955" s="33">
        <v>0</v>
      </c>
      <c r="X955" s="33">
        <v>0</v>
      </c>
      <c r="Y955" s="33">
        <v>0</v>
      </c>
      <c r="Z955" s="33">
        <v>0</v>
      </c>
      <c r="AA955" s="32">
        <v>0</v>
      </c>
      <c r="AB955" s="32">
        <v>0</v>
      </c>
      <c r="AC955" s="32">
        <f t="shared" ref="AC955:AC959" si="435">ROUND(N955*1.5%,2)</f>
        <v>56176.25</v>
      </c>
      <c r="AD955" s="32">
        <v>150000</v>
      </c>
      <c r="AE955" s="32">
        <v>0</v>
      </c>
      <c r="AF955" s="35">
        <v>2022</v>
      </c>
      <c r="AG955" s="35">
        <v>2022</v>
      </c>
      <c r="AH955" s="36">
        <v>2022</v>
      </c>
      <c r="AT955" s="21" t="e">
        <f t="shared" si="431"/>
        <v>#N/A</v>
      </c>
    </row>
    <row r="956" spans="1:46" ht="61.5" x14ac:dyDescent="0.85">
      <c r="A956" s="21">
        <v>1</v>
      </c>
      <c r="B956" s="70">
        <f>SUBTOTAL(103,$A$896:A956)</f>
        <v>60</v>
      </c>
      <c r="C956" s="25" t="s">
        <v>488</v>
      </c>
      <c r="D956" s="32">
        <f t="shared" si="434"/>
        <v>2999201</v>
      </c>
      <c r="E956" s="33">
        <v>0</v>
      </c>
      <c r="F956" s="33">
        <v>0</v>
      </c>
      <c r="G956" s="33">
        <v>0</v>
      </c>
      <c r="H956" s="33">
        <v>0</v>
      </c>
      <c r="I956" s="33">
        <v>0</v>
      </c>
      <c r="J956" s="33">
        <v>0</v>
      </c>
      <c r="K956" s="94">
        <v>0</v>
      </c>
      <c r="L956" s="33">
        <v>0</v>
      </c>
      <c r="M956" s="32">
        <v>547</v>
      </c>
      <c r="N956" s="32">
        <v>2807094.58</v>
      </c>
      <c r="O956" s="33">
        <v>0</v>
      </c>
      <c r="P956" s="33">
        <v>0</v>
      </c>
      <c r="Q956" s="33">
        <v>0</v>
      </c>
      <c r="R956" s="33">
        <v>0</v>
      </c>
      <c r="S956" s="33">
        <v>0</v>
      </c>
      <c r="T956" s="33">
        <v>0</v>
      </c>
      <c r="U956" s="33">
        <v>0</v>
      </c>
      <c r="V956" s="33">
        <v>0</v>
      </c>
      <c r="W956" s="33">
        <v>0</v>
      </c>
      <c r="X956" s="33">
        <v>0</v>
      </c>
      <c r="Y956" s="33">
        <v>0</v>
      </c>
      <c r="Z956" s="33">
        <v>0</v>
      </c>
      <c r="AA956" s="32">
        <v>0</v>
      </c>
      <c r="AB956" s="32">
        <v>0</v>
      </c>
      <c r="AC956" s="32">
        <f t="shared" si="435"/>
        <v>42106.42</v>
      </c>
      <c r="AD956" s="32">
        <v>150000</v>
      </c>
      <c r="AE956" s="32">
        <v>0</v>
      </c>
      <c r="AF956" s="35">
        <v>2022</v>
      </c>
      <c r="AG956" s="35">
        <v>2022</v>
      </c>
      <c r="AH956" s="36">
        <v>2022</v>
      </c>
      <c r="AT956" s="21" t="e">
        <f t="shared" si="431"/>
        <v>#N/A</v>
      </c>
    </row>
    <row r="957" spans="1:46" ht="61.5" x14ac:dyDescent="0.85">
      <c r="A957" s="21">
        <v>1</v>
      </c>
      <c r="B957" s="70">
        <f>SUBTOTAL(103,$A$896:A957)</f>
        <v>61</v>
      </c>
      <c r="C957" s="25" t="s">
        <v>489</v>
      </c>
      <c r="D957" s="32">
        <f t="shared" si="434"/>
        <v>2584541.12</v>
      </c>
      <c r="E957" s="33">
        <v>0</v>
      </c>
      <c r="F957" s="33">
        <v>0</v>
      </c>
      <c r="G957" s="33">
        <v>0</v>
      </c>
      <c r="H957" s="33">
        <v>0</v>
      </c>
      <c r="I957" s="33">
        <v>0</v>
      </c>
      <c r="J957" s="33">
        <v>0</v>
      </c>
      <c r="K957" s="94">
        <v>0</v>
      </c>
      <c r="L957" s="33">
        <v>0</v>
      </c>
      <c r="M957" s="32">
        <v>493.2</v>
      </c>
      <c r="N957" s="32">
        <v>2428119.33</v>
      </c>
      <c r="O957" s="33">
        <v>0</v>
      </c>
      <c r="P957" s="33">
        <v>0</v>
      </c>
      <c r="Q957" s="33">
        <v>0</v>
      </c>
      <c r="R957" s="33">
        <v>0</v>
      </c>
      <c r="S957" s="33">
        <v>0</v>
      </c>
      <c r="T957" s="33">
        <v>0</v>
      </c>
      <c r="U957" s="33">
        <v>0</v>
      </c>
      <c r="V957" s="33">
        <v>0</v>
      </c>
      <c r="W957" s="33">
        <v>0</v>
      </c>
      <c r="X957" s="33">
        <v>0</v>
      </c>
      <c r="Y957" s="33">
        <v>0</v>
      </c>
      <c r="Z957" s="33">
        <v>0</v>
      </c>
      <c r="AA957" s="32">
        <v>0</v>
      </c>
      <c r="AB957" s="32">
        <v>0</v>
      </c>
      <c r="AC957" s="32">
        <f t="shared" si="435"/>
        <v>36421.79</v>
      </c>
      <c r="AD957" s="32">
        <v>120000</v>
      </c>
      <c r="AE957" s="32">
        <v>0</v>
      </c>
      <c r="AF957" s="35">
        <v>2022</v>
      </c>
      <c r="AG957" s="35">
        <v>2022</v>
      </c>
      <c r="AH957" s="36">
        <v>2022</v>
      </c>
      <c r="AT957" s="21" t="e">
        <f t="shared" si="431"/>
        <v>#N/A</v>
      </c>
    </row>
    <row r="958" spans="1:46" ht="61.5" x14ac:dyDescent="0.85">
      <c r="A958" s="21">
        <v>1</v>
      </c>
      <c r="B958" s="70">
        <f>SUBTOTAL(103,$A$896:A958)</f>
        <v>62</v>
      </c>
      <c r="C958" s="25" t="s">
        <v>490</v>
      </c>
      <c r="D958" s="32">
        <f t="shared" si="434"/>
        <v>6581549.3999999994</v>
      </c>
      <c r="E958" s="33">
        <v>0</v>
      </c>
      <c r="F958" s="33">
        <v>0</v>
      </c>
      <c r="G958" s="33">
        <v>0</v>
      </c>
      <c r="H958" s="33">
        <v>0</v>
      </c>
      <c r="I958" s="33">
        <v>0</v>
      </c>
      <c r="J958" s="33">
        <v>0</v>
      </c>
      <c r="K958" s="94">
        <v>0</v>
      </c>
      <c r="L958" s="33">
        <v>0</v>
      </c>
      <c r="M958" s="32">
        <v>1130</v>
      </c>
      <c r="N958" s="32">
        <v>6306945.2199999997</v>
      </c>
      <c r="O958" s="33">
        <v>0</v>
      </c>
      <c r="P958" s="33">
        <v>0</v>
      </c>
      <c r="Q958" s="33">
        <v>0</v>
      </c>
      <c r="R958" s="33">
        <v>0</v>
      </c>
      <c r="S958" s="33">
        <v>0</v>
      </c>
      <c r="T958" s="33">
        <v>0</v>
      </c>
      <c r="U958" s="33">
        <v>0</v>
      </c>
      <c r="V958" s="33">
        <v>0</v>
      </c>
      <c r="W958" s="33">
        <v>0</v>
      </c>
      <c r="X958" s="33">
        <v>0</v>
      </c>
      <c r="Y958" s="33">
        <v>0</v>
      </c>
      <c r="Z958" s="33">
        <v>0</v>
      </c>
      <c r="AA958" s="32">
        <v>0</v>
      </c>
      <c r="AB958" s="32">
        <v>0</v>
      </c>
      <c r="AC958" s="32">
        <f t="shared" si="435"/>
        <v>94604.18</v>
      </c>
      <c r="AD958" s="32">
        <v>180000</v>
      </c>
      <c r="AE958" s="32">
        <v>0</v>
      </c>
      <c r="AF958" s="35">
        <v>2022</v>
      </c>
      <c r="AG958" s="35">
        <v>2022</v>
      </c>
      <c r="AH958" s="36">
        <v>2022</v>
      </c>
      <c r="AT958" s="21" t="e">
        <f t="shared" si="431"/>
        <v>#N/A</v>
      </c>
    </row>
    <row r="959" spans="1:46" ht="61.5" x14ac:dyDescent="0.85">
      <c r="A959" s="21">
        <v>1</v>
      </c>
      <c r="B959" s="70">
        <f>SUBTOTAL(103,$A$896:A959)</f>
        <v>63</v>
      </c>
      <c r="C959" s="25" t="s">
        <v>491</v>
      </c>
      <c r="D959" s="32">
        <f t="shared" si="434"/>
        <v>4737312</v>
      </c>
      <c r="E959" s="33">
        <v>0</v>
      </c>
      <c r="F959" s="33">
        <v>0</v>
      </c>
      <c r="G959" s="33">
        <v>0</v>
      </c>
      <c r="H959" s="33">
        <v>0</v>
      </c>
      <c r="I959" s="33">
        <v>0</v>
      </c>
      <c r="J959" s="33">
        <v>0</v>
      </c>
      <c r="K959" s="94">
        <v>0</v>
      </c>
      <c r="L959" s="33">
        <v>0</v>
      </c>
      <c r="M959" s="32">
        <v>864</v>
      </c>
      <c r="N959" s="32">
        <v>4519519.21</v>
      </c>
      <c r="O959" s="33">
        <v>0</v>
      </c>
      <c r="P959" s="33">
        <v>0</v>
      </c>
      <c r="Q959" s="33">
        <v>0</v>
      </c>
      <c r="R959" s="33">
        <v>0</v>
      </c>
      <c r="S959" s="33">
        <v>0</v>
      </c>
      <c r="T959" s="33">
        <v>0</v>
      </c>
      <c r="U959" s="33">
        <v>0</v>
      </c>
      <c r="V959" s="33">
        <v>0</v>
      </c>
      <c r="W959" s="33">
        <v>0</v>
      </c>
      <c r="X959" s="33">
        <v>0</v>
      </c>
      <c r="Y959" s="33">
        <v>0</v>
      </c>
      <c r="Z959" s="33">
        <v>0</v>
      </c>
      <c r="AA959" s="32">
        <v>0</v>
      </c>
      <c r="AB959" s="32">
        <v>0</v>
      </c>
      <c r="AC959" s="32">
        <f t="shared" si="435"/>
        <v>67792.789999999994</v>
      </c>
      <c r="AD959" s="32">
        <v>150000</v>
      </c>
      <c r="AE959" s="32">
        <v>0</v>
      </c>
      <c r="AF959" s="35">
        <v>2022</v>
      </c>
      <c r="AG959" s="35">
        <v>2022</v>
      </c>
      <c r="AH959" s="36">
        <v>2022</v>
      </c>
      <c r="AT959" s="21" t="e">
        <f t="shared" si="431"/>
        <v>#N/A</v>
      </c>
    </row>
    <row r="960" spans="1:46" ht="61.5" x14ac:dyDescent="0.85">
      <c r="A960" s="21">
        <v>1</v>
      </c>
      <c r="B960" s="70">
        <f>SUBTOTAL(103,$A$896:A960)</f>
        <v>64</v>
      </c>
      <c r="C960" s="25" t="s">
        <v>492</v>
      </c>
      <c r="D960" s="32">
        <f t="shared" si="434"/>
        <v>491510.45999999996</v>
      </c>
      <c r="E960" s="33">
        <v>0</v>
      </c>
      <c r="F960" s="33">
        <v>0</v>
      </c>
      <c r="G960" s="33">
        <v>0</v>
      </c>
      <c r="H960" s="32">
        <v>415281.24</v>
      </c>
      <c r="I960" s="33">
        <v>0</v>
      </c>
      <c r="J960" s="33">
        <v>0</v>
      </c>
      <c r="K960" s="94">
        <v>0</v>
      </c>
      <c r="L960" s="33">
        <v>0</v>
      </c>
      <c r="M960" s="32">
        <v>0</v>
      </c>
      <c r="N960" s="32">
        <v>0</v>
      </c>
      <c r="O960" s="33">
        <v>0</v>
      </c>
      <c r="P960" s="33">
        <v>0</v>
      </c>
      <c r="Q960" s="33">
        <v>0</v>
      </c>
      <c r="R960" s="33">
        <v>0</v>
      </c>
      <c r="S960" s="33">
        <v>0</v>
      </c>
      <c r="T960" s="33">
        <v>0</v>
      </c>
      <c r="U960" s="33">
        <v>0</v>
      </c>
      <c r="V960" s="33">
        <v>0</v>
      </c>
      <c r="W960" s="33">
        <v>0</v>
      </c>
      <c r="X960" s="33">
        <v>0</v>
      </c>
      <c r="Y960" s="33">
        <v>0</v>
      </c>
      <c r="Z960" s="33">
        <v>0</v>
      </c>
      <c r="AA960" s="32">
        <v>0</v>
      </c>
      <c r="AB960" s="32">
        <v>0</v>
      </c>
      <c r="AC960" s="32">
        <f>ROUND((E960+F960+G960+H960+I960+J960)*1.5%,2)</f>
        <v>6229.22</v>
      </c>
      <c r="AD960" s="32">
        <v>70000</v>
      </c>
      <c r="AE960" s="32">
        <v>0</v>
      </c>
      <c r="AF960" s="35">
        <v>2022</v>
      </c>
      <c r="AG960" s="35">
        <v>2022</v>
      </c>
      <c r="AH960" s="36">
        <v>2022</v>
      </c>
      <c r="AT960" s="21" t="e">
        <f t="shared" si="431"/>
        <v>#N/A</v>
      </c>
    </row>
    <row r="961" spans="1:46" ht="61.5" x14ac:dyDescent="0.85">
      <c r="A961" s="21">
        <v>1</v>
      </c>
      <c r="B961" s="70">
        <f>SUBTOTAL(103,$A$896:A961)</f>
        <v>65</v>
      </c>
      <c r="C961" s="25" t="s">
        <v>493</v>
      </c>
      <c r="D961" s="32">
        <f t="shared" si="434"/>
        <v>3422817.5799999996</v>
      </c>
      <c r="E961" s="33">
        <v>0</v>
      </c>
      <c r="F961" s="33">
        <v>0</v>
      </c>
      <c r="G961" s="33">
        <v>0</v>
      </c>
      <c r="H961" s="33">
        <v>0</v>
      </c>
      <c r="I961" s="33">
        <v>0</v>
      </c>
      <c r="J961" s="33">
        <v>0</v>
      </c>
      <c r="K961" s="94">
        <v>0</v>
      </c>
      <c r="L961" s="33">
        <v>0</v>
      </c>
      <c r="M961" s="32">
        <v>624.26</v>
      </c>
      <c r="N961" s="32">
        <v>3224450.82</v>
      </c>
      <c r="O961" s="33">
        <v>0</v>
      </c>
      <c r="P961" s="33">
        <v>0</v>
      </c>
      <c r="Q961" s="33">
        <v>0</v>
      </c>
      <c r="R961" s="33">
        <v>0</v>
      </c>
      <c r="S961" s="33">
        <v>0</v>
      </c>
      <c r="T961" s="33">
        <v>0</v>
      </c>
      <c r="U961" s="33">
        <v>0</v>
      </c>
      <c r="V961" s="33">
        <v>0</v>
      </c>
      <c r="W961" s="33">
        <v>0</v>
      </c>
      <c r="X961" s="33">
        <v>0</v>
      </c>
      <c r="Y961" s="33">
        <v>0</v>
      </c>
      <c r="Z961" s="33">
        <v>0</v>
      </c>
      <c r="AA961" s="32">
        <v>0</v>
      </c>
      <c r="AB961" s="32">
        <v>0</v>
      </c>
      <c r="AC961" s="32">
        <f t="shared" ref="AC961:AC966" si="436">ROUND(N961*1.5%,2)</f>
        <v>48366.76</v>
      </c>
      <c r="AD961" s="32">
        <v>150000</v>
      </c>
      <c r="AE961" s="32">
        <v>0</v>
      </c>
      <c r="AF961" s="35">
        <v>2022</v>
      </c>
      <c r="AG961" s="35">
        <v>2022</v>
      </c>
      <c r="AH961" s="36">
        <v>2022</v>
      </c>
      <c r="AT961" s="21" t="e">
        <f t="shared" si="431"/>
        <v>#N/A</v>
      </c>
    </row>
    <row r="962" spans="1:46" ht="61.5" x14ac:dyDescent="0.85">
      <c r="A962" s="21">
        <v>1</v>
      </c>
      <c r="B962" s="70">
        <f>SUBTOTAL(103,$A$896:A962)</f>
        <v>66</v>
      </c>
      <c r="C962" s="25" t="s">
        <v>494</v>
      </c>
      <c r="D962" s="32">
        <f t="shared" si="434"/>
        <v>2888444.4</v>
      </c>
      <c r="E962" s="33">
        <v>0</v>
      </c>
      <c r="F962" s="33">
        <v>0</v>
      </c>
      <c r="G962" s="33">
        <v>0</v>
      </c>
      <c r="H962" s="33">
        <v>0</v>
      </c>
      <c r="I962" s="33">
        <v>0</v>
      </c>
      <c r="J962" s="33">
        <v>0</v>
      </c>
      <c r="K962" s="94">
        <v>0</v>
      </c>
      <c r="L962" s="33">
        <v>0</v>
      </c>
      <c r="M962" s="32">
        <v>526.79999999999995</v>
      </c>
      <c r="N962" s="32">
        <v>2697974.78</v>
      </c>
      <c r="O962" s="33">
        <v>0</v>
      </c>
      <c r="P962" s="33">
        <v>0</v>
      </c>
      <c r="Q962" s="33">
        <v>0</v>
      </c>
      <c r="R962" s="33">
        <v>0</v>
      </c>
      <c r="S962" s="33">
        <v>0</v>
      </c>
      <c r="T962" s="33">
        <v>0</v>
      </c>
      <c r="U962" s="33">
        <v>0</v>
      </c>
      <c r="V962" s="33">
        <v>0</v>
      </c>
      <c r="W962" s="33">
        <v>0</v>
      </c>
      <c r="X962" s="33">
        <v>0</v>
      </c>
      <c r="Y962" s="33">
        <v>0</v>
      </c>
      <c r="Z962" s="33">
        <v>0</v>
      </c>
      <c r="AA962" s="32">
        <v>0</v>
      </c>
      <c r="AB962" s="32">
        <v>0</v>
      </c>
      <c r="AC962" s="32">
        <f t="shared" si="436"/>
        <v>40469.620000000003</v>
      </c>
      <c r="AD962" s="32">
        <v>150000</v>
      </c>
      <c r="AE962" s="32">
        <v>0</v>
      </c>
      <c r="AF962" s="35">
        <v>2022</v>
      </c>
      <c r="AG962" s="35">
        <v>2022</v>
      </c>
      <c r="AH962" s="36">
        <v>2022</v>
      </c>
      <c r="AT962" s="21" t="e">
        <f t="shared" si="431"/>
        <v>#N/A</v>
      </c>
    </row>
    <row r="963" spans="1:46" ht="61.5" x14ac:dyDescent="0.85">
      <c r="A963" s="21">
        <v>1</v>
      </c>
      <c r="B963" s="70">
        <f>SUBTOTAL(103,$A$896:A963)</f>
        <v>67</v>
      </c>
      <c r="C963" s="25" t="s">
        <v>495</v>
      </c>
      <c r="D963" s="32">
        <f t="shared" si="434"/>
        <v>3422817.5799999996</v>
      </c>
      <c r="E963" s="33">
        <v>0</v>
      </c>
      <c r="F963" s="33">
        <v>0</v>
      </c>
      <c r="G963" s="33">
        <v>0</v>
      </c>
      <c r="H963" s="33">
        <v>0</v>
      </c>
      <c r="I963" s="33">
        <v>0</v>
      </c>
      <c r="J963" s="33">
        <v>0</v>
      </c>
      <c r="K963" s="94">
        <v>0</v>
      </c>
      <c r="L963" s="33">
        <v>0</v>
      </c>
      <c r="M963" s="32">
        <v>624.26</v>
      </c>
      <c r="N963" s="32">
        <v>3224450.82</v>
      </c>
      <c r="O963" s="33">
        <v>0</v>
      </c>
      <c r="P963" s="33">
        <v>0</v>
      </c>
      <c r="Q963" s="33">
        <v>0</v>
      </c>
      <c r="R963" s="33">
        <v>0</v>
      </c>
      <c r="S963" s="33">
        <v>0</v>
      </c>
      <c r="T963" s="33">
        <v>0</v>
      </c>
      <c r="U963" s="33">
        <v>0</v>
      </c>
      <c r="V963" s="33">
        <v>0</v>
      </c>
      <c r="W963" s="33">
        <v>0</v>
      </c>
      <c r="X963" s="33">
        <v>0</v>
      </c>
      <c r="Y963" s="33">
        <v>0</v>
      </c>
      <c r="Z963" s="33">
        <v>0</v>
      </c>
      <c r="AA963" s="32">
        <v>0</v>
      </c>
      <c r="AB963" s="32">
        <v>0</v>
      </c>
      <c r="AC963" s="32">
        <f t="shared" si="436"/>
        <v>48366.76</v>
      </c>
      <c r="AD963" s="32">
        <v>150000</v>
      </c>
      <c r="AE963" s="32">
        <v>0</v>
      </c>
      <c r="AF963" s="35">
        <v>2022</v>
      </c>
      <c r="AG963" s="35">
        <v>2022</v>
      </c>
      <c r="AH963" s="36">
        <v>2022</v>
      </c>
      <c r="AT963" s="21" t="e">
        <f t="shared" si="431"/>
        <v>#N/A</v>
      </c>
    </row>
    <row r="964" spans="1:46" ht="61.5" x14ac:dyDescent="0.85">
      <c r="A964" s="21">
        <v>1</v>
      </c>
      <c r="B964" s="70">
        <f>SUBTOTAL(103,$A$896:A964)</f>
        <v>68</v>
      </c>
      <c r="C964" s="25" t="s">
        <v>496</v>
      </c>
      <c r="D964" s="32">
        <f t="shared" si="434"/>
        <v>2854935.17</v>
      </c>
      <c r="E964" s="33">
        <v>0</v>
      </c>
      <c r="F964" s="33">
        <v>0</v>
      </c>
      <c r="G964" s="33">
        <v>0</v>
      </c>
      <c r="H964" s="33">
        <v>0</v>
      </c>
      <c r="I964" s="33">
        <v>0</v>
      </c>
      <c r="J964" s="33">
        <v>0</v>
      </c>
      <c r="K964" s="94">
        <v>0</v>
      </c>
      <c r="L964" s="33">
        <v>0</v>
      </c>
      <c r="M964" s="32">
        <v>544.85</v>
      </c>
      <c r="N964" s="32">
        <v>2664960.7599999998</v>
      </c>
      <c r="O964" s="33">
        <v>0</v>
      </c>
      <c r="P964" s="33">
        <v>0</v>
      </c>
      <c r="Q964" s="33">
        <v>0</v>
      </c>
      <c r="R964" s="33">
        <v>0</v>
      </c>
      <c r="S964" s="33">
        <v>0</v>
      </c>
      <c r="T964" s="33">
        <v>0</v>
      </c>
      <c r="U964" s="33">
        <v>0</v>
      </c>
      <c r="V964" s="33">
        <v>0</v>
      </c>
      <c r="W964" s="33">
        <v>0</v>
      </c>
      <c r="X964" s="33">
        <v>0</v>
      </c>
      <c r="Y964" s="33">
        <v>0</v>
      </c>
      <c r="Z964" s="33">
        <v>0</v>
      </c>
      <c r="AA964" s="32">
        <v>0</v>
      </c>
      <c r="AB964" s="32">
        <v>0</v>
      </c>
      <c r="AC964" s="32">
        <f t="shared" si="436"/>
        <v>39974.410000000003</v>
      </c>
      <c r="AD964" s="32">
        <v>150000</v>
      </c>
      <c r="AE964" s="32">
        <v>0</v>
      </c>
      <c r="AF964" s="35">
        <v>2022</v>
      </c>
      <c r="AG964" s="35">
        <v>2022</v>
      </c>
      <c r="AH964" s="36">
        <v>2022</v>
      </c>
      <c r="AT964" s="21" t="e">
        <f t="shared" si="431"/>
        <v>#N/A</v>
      </c>
    </row>
    <row r="965" spans="1:46" ht="61.5" x14ac:dyDescent="0.85">
      <c r="A965" s="21">
        <v>1</v>
      </c>
      <c r="B965" s="70">
        <f>SUBTOTAL(103,$A$896:A965)</f>
        <v>69</v>
      </c>
      <c r="C965" s="25" t="s">
        <v>497</v>
      </c>
      <c r="D965" s="32">
        <f t="shared" si="434"/>
        <v>2611847.7000000002</v>
      </c>
      <c r="E965" s="31">
        <v>0</v>
      </c>
      <c r="F965" s="33">
        <v>0</v>
      </c>
      <c r="G965" s="31">
        <v>0</v>
      </c>
      <c r="H965" s="33">
        <v>0</v>
      </c>
      <c r="I965" s="33">
        <v>0</v>
      </c>
      <c r="J965" s="33">
        <v>0</v>
      </c>
      <c r="K965" s="94">
        <v>0</v>
      </c>
      <c r="L965" s="33">
        <v>0</v>
      </c>
      <c r="M965" s="32">
        <v>510</v>
      </c>
      <c r="N965" s="32">
        <v>2425465.71</v>
      </c>
      <c r="O965" s="33">
        <v>0</v>
      </c>
      <c r="P965" s="33">
        <v>0</v>
      </c>
      <c r="Q965" s="33">
        <v>0</v>
      </c>
      <c r="R965" s="33">
        <v>0</v>
      </c>
      <c r="S965" s="33">
        <v>0</v>
      </c>
      <c r="T965" s="33">
        <v>0</v>
      </c>
      <c r="U965" s="33">
        <v>0</v>
      </c>
      <c r="V965" s="33">
        <v>0</v>
      </c>
      <c r="W965" s="33">
        <v>0</v>
      </c>
      <c r="X965" s="33">
        <v>0</v>
      </c>
      <c r="Y965" s="33">
        <v>0</v>
      </c>
      <c r="Z965" s="33">
        <v>0</v>
      </c>
      <c r="AA965" s="32">
        <v>0</v>
      </c>
      <c r="AB965" s="32">
        <v>0</v>
      </c>
      <c r="AC965" s="32">
        <f t="shared" si="436"/>
        <v>36381.99</v>
      </c>
      <c r="AD965" s="32">
        <v>150000</v>
      </c>
      <c r="AE965" s="32">
        <v>0</v>
      </c>
      <c r="AF965" s="35">
        <v>2022</v>
      </c>
      <c r="AG965" s="35">
        <v>2022</v>
      </c>
      <c r="AH965" s="36">
        <v>2022</v>
      </c>
      <c r="AT965" s="21" t="e">
        <f t="shared" si="431"/>
        <v>#N/A</v>
      </c>
    </row>
    <row r="966" spans="1:46" ht="61.5" x14ac:dyDescent="0.85">
      <c r="A966" s="21">
        <v>1</v>
      </c>
      <c r="B966" s="70">
        <f>SUBTOTAL(103,$A$896:A966)</f>
        <v>70</v>
      </c>
      <c r="C966" s="25" t="s">
        <v>498</v>
      </c>
      <c r="D966" s="32">
        <f t="shared" si="434"/>
        <v>2857221.68</v>
      </c>
      <c r="E966" s="33">
        <v>0</v>
      </c>
      <c r="F966" s="33">
        <v>0</v>
      </c>
      <c r="G966" s="33">
        <v>0</v>
      </c>
      <c r="H966" s="33">
        <v>0</v>
      </c>
      <c r="I966" s="33">
        <v>0</v>
      </c>
      <c r="J966" s="33">
        <v>0</v>
      </c>
      <c r="K966" s="94">
        <v>0</v>
      </c>
      <c r="L966" s="33">
        <v>0</v>
      </c>
      <c r="M966" s="32">
        <v>547</v>
      </c>
      <c r="N966" s="32">
        <v>2667213.48</v>
      </c>
      <c r="O966" s="33">
        <v>0</v>
      </c>
      <c r="P966" s="33">
        <v>0</v>
      </c>
      <c r="Q966" s="33">
        <v>0</v>
      </c>
      <c r="R966" s="33">
        <v>0</v>
      </c>
      <c r="S966" s="33">
        <v>0</v>
      </c>
      <c r="T966" s="32">
        <v>0</v>
      </c>
      <c r="U966" s="33">
        <v>0</v>
      </c>
      <c r="V966" s="33">
        <v>0</v>
      </c>
      <c r="W966" s="33">
        <v>0</v>
      </c>
      <c r="X966" s="33">
        <v>0</v>
      </c>
      <c r="Y966" s="33">
        <v>0</v>
      </c>
      <c r="Z966" s="33">
        <v>0</v>
      </c>
      <c r="AA966" s="32">
        <v>0</v>
      </c>
      <c r="AB966" s="32">
        <v>0</v>
      </c>
      <c r="AC966" s="32">
        <f t="shared" si="436"/>
        <v>40008.199999999997</v>
      </c>
      <c r="AD966" s="32">
        <v>150000</v>
      </c>
      <c r="AE966" s="32">
        <v>0</v>
      </c>
      <c r="AF966" s="35">
        <v>2022</v>
      </c>
      <c r="AG966" s="35">
        <v>2022</v>
      </c>
      <c r="AH966" s="36">
        <v>2022</v>
      </c>
      <c r="AT966" s="21" t="e">
        <f t="shared" si="431"/>
        <v>#N/A</v>
      </c>
    </row>
    <row r="967" spans="1:46" ht="61.5" x14ac:dyDescent="0.85">
      <c r="A967" s="21">
        <v>1</v>
      </c>
      <c r="B967" s="70">
        <f>SUBTOTAL(103,$A$896:A967)</f>
        <v>71</v>
      </c>
      <c r="C967" s="25" t="s">
        <v>499</v>
      </c>
      <c r="D967" s="32">
        <f t="shared" si="434"/>
        <v>3123098.64</v>
      </c>
      <c r="E967" s="33">
        <v>0</v>
      </c>
      <c r="F967" s="33">
        <v>0</v>
      </c>
      <c r="G967" s="33">
        <v>0</v>
      </c>
      <c r="H967" s="33">
        <v>0</v>
      </c>
      <c r="I967" s="33">
        <v>0</v>
      </c>
      <c r="J967" s="33">
        <v>0</v>
      </c>
      <c r="K967" s="94">
        <v>0</v>
      </c>
      <c r="L967" s="33">
        <v>0</v>
      </c>
      <c r="M967" s="33">
        <v>0</v>
      </c>
      <c r="N967" s="33">
        <v>0</v>
      </c>
      <c r="O967" s="33">
        <v>0</v>
      </c>
      <c r="P967" s="33">
        <v>0</v>
      </c>
      <c r="Q967" s="33">
        <v>0</v>
      </c>
      <c r="R967" s="33">
        <v>0</v>
      </c>
      <c r="S967" s="32">
        <v>51</v>
      </c>
      <c r="T967" s="32">
        <v>2929161.22</v>
      </c>
      <c r="U967" s="33">
        <v>0</v>
      </c>
      <c r="V967" s="33">
        <v>0</v>
      </c>
      <c r="W967" s="33">
        <v>0</v>
      </c>
      <c r="X967" s="33">
        <v>0</v>
      </c>
      <c r="Y967" s="33">
        <v>0</v>
      </c>
      <c r="Z967" s="33">
        <v>0</v>
      </c>
      <c r="AA967" s="32">
        <v>0</v>
      </c>
      <c r="AB967" s="32">
        <v>0</v>
      </c>
      <c r="AC967" s="32">
        <f>ROUND(T967*1.5%,2)</f>
        <v>43937.42</v>
      </c>
      <c r="AD967" s="32">
        <v>150000</v>
      </c>
      <c r="AE967" s="32">
        <v>0</v>
      </c>
      <c r="AF967" s="35">
        <v>2022</v>
      </c>
      <c r="AG967" s="35">
        <v>2022</v>
      </c>
      <c r="AH967" s="36">
        <v>2022</v>
      </c>
      <c r="AT967" s="21" t="e">
        <f t="shared" si="431"/>
        <v>#N/A</v>
      </c>
    </row>
    <row r="968" spans="1:46" ht="61.5" x14ac:dyDescent="0.85">
      <c r="A968" s="21">
        <v>1</v>
      </c>
      <c r="B968" s="70">
        <f>SUBTOTAL(103,$A$896:A968)</f>
        <v>72</v>
      </c>
      <c r="C968" s="25" t="s">
        <v>500</v>
      </c>
      <c r="D968" s="32">
        <f t="shared" si="434"/>
        <v>2521758.64</v>
      </c>
      <c r="E968" s="33">
        <v>0</v>
      </c>
      <c r="F968" s="33">
        <v>0</v>
      </c>
      <c r="G968" s="33">
        <v>0</v>
      </c>
      <c r="H968" s="33">
        <v>0</v>
      </c>
      <c r="I968" s="33">
        <v>0</v>
      </c>
      <c r="J968" s="33">
        <v>0</v>
      </c>
      <c r="K968" s="94">
        <v>0</v>
      </c>
      <c r="L968" s="33">
        <v>0</v>
      </c>
      <c r="M968" s="32">
        <v>398.44</v>
      </c>
      <c r="N968" s="32">
        <v>2366264.67</v>
      </c>
      <c r="O968" s="33">
        <v>0</v>
      </c>
      <c r="P968" s="33">
        <v>0</v>
      </c>
      <c r="Q968" s="33">
        <v>0</v>
      </c>
      <c r="R968" s="33">
        <v>0</v>
      </c>
      <c r="S968" s="33">
        <v>0</v>
      </c>
      <c r="T968" s="33">
        <v>0</v>
      </c>
      <c r="U968" s="33">
        <v>0</v>
      </c>
      <c r="V968" s="33">
        <v>0</v>
      </c>
      <c r="W968" s="33">
        <v>0</v>
      </c>
      <c r="X968" s="33">
        <v>0</v>
      </c>
      <c r="Y968" s="33">
        <v>0</v>
      </c>
      <c r="Z968" s="33">
        <v>0</v>
      </c>
      <c r="AA968" s="32">
        <v>0</v>
      </c>
      <c r="AB968" s="32">
        <v>0</v>
      </c>
      <c r="AC968" s="32">
        <f>ROUND(N968*1.5%,2)</f>
        <v>35493.97</v>
      </c>
      <c r="AD968" s="32">
        <v>120000</v>
      </c>
      <c r="AE968" s="32">
        <v>0</v>
      </c>
      <c r="AF968" s="35">
        <v>2022</v>
      </c>
      <c r="AG968" s="35">
        <v>2022</v>
      </c>
      <c r="AH968" s="36">
        <v>2022</v>
      </c>
      <c r="AT968" s="21" t="e">
        <f t="shared" si="431"/>
        <v>#N/A</v>
      </c>
    </row>
    <row r="969" spans="1:46" ht="61.5" x14ac:dyDescent="0.85">
      <c r="B969" s="25" t="s">
        <v>807</v>
      </c>
      <c r="C969" s="110"/>
      <c r="D969" s="32">
        <f>SUM(D970:D996)</f>
        <v>91626897.959999993</v>
      </c>
      <c r="E969" s="32">
        <f t="shared" ref="E969:AE969" si="437">SUM(E970:E996)</f>
        <v>0</v>
      </c>
      <c r="F969" s="32">
        <f t="shared" si="437"/>
        <v>0</v>
      </c>
      <c r="G969" s="32">
        <f t="shared" si="437"/>
        <v>0</v>
      </c>
      <c r="H969" s="32">
        <f t="shared" si="437"/>
        <v>0</v>
      </c>
      <c r="I969" s="32">
        <f t="shared" si="437"/>
        <v>1794795.08</v>
      </c>
      <c r="J969" s="32">
        <f t="shared" si="437"/>
        <v>0</v>
      </c>
      <c r="K969" s="34">
        <f t="shared" si="437"/>
        <v>7</v>
      </c>
      <c r="L969" s="32">
        <f t="shared" si="437"/>
        <v>14963263.060000001</v>
      </c>
      <c r="M969" s="32">
        <f t="shared" si="437"/>
        <v>14798</v>
      </c>
      <c r="N969" s="32">
        <f t="shared" si="437"/>
        <v>67952677.739999995</v>
      </c>
      <c r="O969" s="32">
        <f t="shared" si="437"/>
        <v>0</v>
      </c>
      <c r="P969" s="32">
        <f t="shared" si="437"/>
        <v>0</v>
      </c>
      <c r="Q969" s="32">
        <f t="shared" si="437"/>
        <v>1050</v>
      </c>
      <c r="R969" s="32">
        <f t="shared" si="437"/>
        <v>5664975.3700000001</v>
      </c>
      <c r="S969" s="32">
        <f t="shared" si="437"/>
        <v>0</v>
      </c>
      <c r="T969" s="32">
        <f t="shared" si="437"/>
        <v>0</v>
      </c>
      <c r="U969" s="32">
        <f t="shared" si="437"/>
        <v>0</v>
      </c>
      <c r="V969" s="32">
        <f t="shared" si="437"/>
        <v>0</v>
      </c>
      <c r="W969" s="32">
        <f t="shared" si="437"/>
        <v>0</v>
      </c>
      <c r="X969" s="32">
        <f t="shared" si="437"/>
        <v>0</v>
      </c>
      <c r="Y969" s="32">
        <f t="shared" si="437"/>
        <v>0</v>
      </c>
      <c r="Z969" s="32">
        <f t="shared" si="437"/>
        <v>0</v>
      </c>
      <c r="AA969" s="32">
        <f t="shared" si="437"/>
        <v>0</v>
      </c>
      <c r="AB969" s="32">
        <f t="shared" si="437"/>
        <v>0</v>
      </c>
      <c r="AC969" s="32">
        <f t="shared" si="437"/>
        <v>1131186.71</v>
      </c>
      <c r="AD969" s="32">
        <f t="shared" si="437"/>
        <v>0</v>
      </c>
      <c r="AE969" s="32">
        <f t="shared" si="437"/>
        <v>120000</v>
      </c>
      <c r="AF969" s="77" t="s">
        <v>801</v>
      </c>
      <c r="AG969" s="77" t="s">
        <v>801</v>
      </c>
      <c r="AH969" s="107" t="s">
        <v>801</v>
      </c>
      <c r="AT969" s="21" t="e">
        <f t="shared" si="431"/>
        <v>#N/A</v>
      </c>
    </row>
    <row r="970" spans="1:46" ht="61.5" x14ac:dyDescent="0.85">
      <c r="A970" s="21">
        <v>1</v>
      </c>
      <c r="B970" s="70">
        <f>SUBTOTAL(103,$A$896:A970)</f>
        <v>73</v>
      </c>
      <c r="C970" s="25" t="s">
        <v>442</v>
      </c>
      <c r="D970" s="32">
        <f t="shared" ref="D970:D996" si="438">E970+F970+G970+H970+I970+J970+L970+N970+P970+R970+T970+U970+V970+W970+X970+Y970+Z970+AA970+AB970+AC970+AD970+AE970</f>
        <v>4337224.8899999997</v>
      </c>
      <c r="E970" s="32">
        <v>0</v>
      </c>
      <c r="F970" s="32">
        <v>0</v>
      </c>
      <c r="G970" s="32">
        <v>0</v>
      </c>
      <c r="H970" s="32">
        <v>0</v>
      </c>
      <c r="I970" s="32">
        <v>0</v>
      </c>
      <c r="J970" s="32">
        <v>0</v>
      </c>
      <c r="K970" s="34">
        <v>0</v>
      </c>
      <c r="L970" s="32">
        <v>0</v>
      </c>
      <c r="M970" s="32">
        <v>930</v>
      </c>
      <c r="N970" s="32">
        <v>4273127.97</v>
      </c>
      <c r="O970" s="32">
        <v>0</v>
      </c>
      <c r="P970" s="32">
        <v>0</v>
      </c>
      <c r="Q970" s="32">
        <v>0</v>
      </c>
      <c r="R970" s="32">
        <v>0</v>
      </c>
      <c r="S970" s="32">
        <v>0</v>
      </c>
      <c r="T970" s="32">
        <v>0</v>
      </c>
      <c r="U970" s="32">
        <v>0</v>
      </c>
      <c r="V970" s="32">
        <v>0</v>
      </c>
      <c r="W970" s="32">
        <v>0</v>
      </c>
      <c r="X970" s="32">
        <v>0</v>
      </c>
      <c r="Y970" s="32">
        <v>0</v>
      </c>
      <c r="Z970" s="32">
        <v>0</v>
      </c>
      <c r="AA970" s="32">
        <v>0</v>
      </c>
      <c r="AB970" s="32">
        <v>0</v>
      </c>
      <c r="AC970" s="32">
        <f t="shared" ref="AC970:AC972" si="439">ROUND(N970*1.5%,2)</f>
        <v>64096.92</v>
      </c>
      <c r="AD970" s="32">
        <v>0</v>
      </c>
      <c r="AE970" s="32">
        <v>0</v>
      </c>
      <c r="AF970" s="35" t="s">
        <v>275</v>
      </c>
      <c r="AG970" s="35">
        <v>2022</v>
      </c>
      <c r="AH970" s="36">
        <v>2022</v>
      </c>
      <c r="AT970" s="21" t="e">
        <f t="shared" si="431"/>
        <v>#N/A</v>
      </c>
    </row>
    <row r="971" spans="1:46" ht="61.5" x14ac:dyDescent="0.85">
      <c r="A971" s="21">
        <v>1</v>
      </c>
      <c r="B971" s="70">
        <f>SUBTOTAL(103,$A$896:A971)</f>
        <v>74</v>
      </c>
      <c r="C971" s="25" t="s">
        <v>443</v>
      </c>
      <c r="D971" s="32">
        <f t="shared" si="438"/>
        <v>2714283.9</v>
      </c>
      <c r="E971" s="32">
        <v>0</v>
      </c>
      <c r="F971" s="32">
        <v>0</v>
      </c>
      <c r="G971" s="32">
        <v>0</v>
      </c>
      <c r="H971" s="32">
        <v>0</v>
      </c>
      <c r="I971" s="32">
        <v>0</v>
      </c>
      <c r="J971" s="32">
        <v>0</v>
      </c>
      <c r="K971" s="34">
        <v>0</v>
      </c>
      <c r="L971" s="32">
        <v>0</v>
      </c>
      <c r="M971" s="32">
        <v>594</v>
      </c>
      <c r="N971" s="32">
        <v>2674171.33</v>
      </c>
      <c r="O971" s="32">
        <v>0</v>
      </c>
      <c r="P971" s="32">
        <v>0</v>
      </c>
      <c r="Q971" s="32">
        <v>0</v>
      </c>
      <c r="R971" s="32">
        <v>0</v>
      </c>
      <c r="S971" s="32">
        <v>0</v>
      </c>
      <c r="T971" s="32">
        <v>0</v>
      </c>
      <c r="U971" s="32">
        <v>0</v>
      </c>
      <c r="V971" s="32">
        <v>0</v>
      </c>
      <c r="W971" s="32">
        <v>0</v>
      </c>
      <c r="X971" s="32">
        <v>0</v>
      </c>
      <c r="Y971" s="32">
        <v>0</v>
      </c>
      <c r="Z971" s="32">
        <v>0</v>
      </c>
      <c r="AA971" s="32">
        <v>0</v>
      </c>
      <c r="AB971" s="32">
        <v>0</v>
      </c>
      <c r="AC971" s="32">
        <f t="shared" si="439"/>
        <v>40112.57</v>
      </c>
      <c r="AD971" s="32">
        <v>0</v>
      </c>
      <c r="AE971" s="32">
        <v>0</v>
      </c>
      <c r="AF971" s="35" t="s">
        <v>275</v>
      </c>
      <c r="AG971" s="35">
        <v>2022</v>
      </c>
      <c r="AH971" s="36">
        <v>2022</v>
      </c>
      <c r="AT971" s="21" t="e">
        <f t="shared" si="431"/>
        <v>#N/A</v>
      </c>
    </row>
    <row r="972" spans="1:46" ht="61.5" x14ac:dyDescent="0.85">
      <c r="A972" s="21">
        <v>1</v>
      </c>
      <c r="B972" s="70">
        <f>SUBTOTAL(103,$A$896:A972)</f>
        <v>75</v>
      </c>
      <c r="C972" s="25" t="s">
        <v>444</v>
      </c>
      <c r="D972" s="32">
        <f t="shared" si="438"/>
        <v>5214319.6899999995</v>
      </c>
      <c r="E972" s="32">
        <v>0</v>
      </c>
      <c r="F972" s="32">
        <v>0</v>
      </c>
      <c r="G972" s="32">
        <v>0</v>
      </c>
      <c r="H972" s="32">
        <v>0</v>
      </c>
      <c r="I972" s="32">
        <v>0</v>
      </c>
      <c r="J972" s="32">
        <v>0</v>
      </c>
      <c r="K972" s="34">
        <v>0</v>
      </c>
      <c r="L972" s="32">
        <v>0</v>
      </c>
      <c r="M972" s="32">
        <v>1118</v>
      </c>
      <c r="N972" s="32">
        <v>5137260.7799999993</v>
      </c>
      <c r="O972" s="32">
        <v>0</v>
      </c>
      <c r="P972" s="32">
        <v>0</v>
      </c>
      <c r="Q972" s="32">
        <v>0</v>
      </c>
      <c r="R972" s="32">
        <v>0</v>
      </c>
      <c r="S972" s="32">
        <v>0</v>
      </c>
      <c r="T972" s="32">
        <v>0</v>
      </c>
      <c r="U972" s="32">
        <v>0</v>
      </c>
      <c r="V972" s="32">
        <v>0</v>
      </c>
      <c r="W972" s="32">
        <v>0</v>
      </c>
      <c r="X972" s="32">
        <v>0</v>
      </c>
      <c r="Y972" s="32">
        <v>0</v>
      </c>
      <c r="Z972" s="32">
        <v>0</v>
      </c>
      <c r="AA972" s="32">
        <v>0</v>
      </c>
      <c r="AB972" s="32">
        <v>0</v>
      </c>
      <c r="AC972" s="32">
        <f t="shared" si="439"/>
        <v>77058.91</v>
      </c>
      <c r="AD972" s="32">
        <v>0</v>
      </c>
      <c r="AE972" s="32">
        <v>0</v>
      </c>
      <c r="AF972" s="35" t="s">
        <v>275</v>
      </c>
      <c r="AG972" s="35">
        <v>2022</v>
      </c>
      <c r="AH972" s="36">
        <v>2022</v>
      </c>
      <c r="AT972" s="21" t="e">
        <f t="shared" si="431"/>
        <v>#N/A</v>
      </c>
    </row>
    <row r="973" spans="1:46" ht="61.5" x14ac:dyDescent="0.85">
      <c r="A973" s="21">
        <v>1</v>
      </c>
      <c r="B973" s="70">
        <f>SUBTOTAL(103,$A$896:A973)</f>
        <v>76</v>
      </c>
      <c r="C973" s="25" t="s">
        <v>445</v>
      </c>
      <c r="D973" s="32">
        <f t="shared" si="438"/>
        <v>5749950</v>
      </c>
      <c r="E973" s="32">
        <v>0</v>
      </c>
      <c r="F973" s="32">
        <v>0</v>
      </c>
      <c r="G973" s="32">
        <v>0</v>
      </c>
      <c r="H973" s="32">
        <v>0</v>
      </c>
      <c r="I973" s="32">
        <v>0</v>
      </c>
      <c r="J973" s="32">
        <v>0</v>
      </c>
      <c r="K973" s="34">
        <v>0</v>
      </c>
      <c r="L973" s="32">
        <v>0</v>
      </c>
      <c r="M973" s="32">
        <v>0</v>
      </c>
      <c r="N973" s="32">
        <v>0</v>
      </c>
      <c r="O973" s="32">
        <v>0</v>
      </c>
      <c r="P973" s="32">
        <v>0</v>
      </c>
      <c r="Q973" s="32">
        <v>1050</v>
      </c>
      <c r="R973" s="32">
        <v>5664975.3700000001</v>
      </c>
      <c r="S973" s="32">
        <v>0</v>
      </c>
      <c r="T973" s="32">
        <v>0</v>
      </c>
      <c r="U973" s="32">
        <v>0</v>
      </c>
      <c r="V973" s="32">
        <v>0</v>
      </c>
      <c r="W973" s="32">
        <v>0</v>
      </c>
      <c r="X973" s="32">
        <v>0</v>
      </c>
      <c r="Y973" s="32">
        <v>0</v>
      </c>
      <c r="Z973" s="32">
        <v>0</v>
      </c>
      <c r="AA973" s="32">
        <v>0</v>
      </c>
      <c r="AB973" s="32">
        <v>0</v>
      </c>
      <c r="AC973" s="32">
        <f t="shared" ref="AC973" si="440">ROUND(R973*1.5%,2)</f>
        <v>84974.63</v>
      </c>
      <c r="AD973" s="32">
        <v>0</v>
      </c>
      <c r="AE973" s="32">
        <v>0</v>
      </c>
      <c r="AF973" s="35" t="s">
        <v>275</v>
      </c>
      <c r="AG973" s="35">
        <v>2022</v>
      </c>
      <c r="AH973" s="36">
        <v>2022</v>
      </c>
      <c r="AT973" s="21" t="e">
        <f t="shared" si="431"/>
        <v>#N/A</v>
      </c>
    </row>
    <row r="974" spans="1:46" ht="61.5" x14ac:dyDescent="0.85">
      <c r="A974" s="21">
        <v>1</v>
      </c>
      <c r="B974" s="70">
        <f>SUBTOTAL(103,$A$896:A974)</f>
        <v>77</v>
      </c>
      <c r="C974" s="25" t="s">
        <v>446</v>
      </c>
      <c r="D974" s="32">
        <f t="shared" si="438"/>
        <v>3391530.1000000006</v>
      </c>
      <c r="E974" s="32">
        <v>0</v>
      </c>
      <c r="F974" s="32">
        <v>0</v>
      </c>
      <c r="G974" s="32">
        <v>0</v>
      </c>
      <c r="H974" s="32">
        <v>0</v>
      </c>
      <c r="I974" s="32">
        <v>0</v>
      </c>
      <c r="J974" s="32">
        <v>0</v>
      </c>
      <c r="K974" s="34">
        <v>0</v>
      </c>
      <c r="L974" s="32">
        <v>0</v>
      </c>
      <c r="M974" s="32">
        <v>734</v>
      </c>
      <c r="N974" s="32">
        <f>3341408.97-118226.61</f>
        <v>3223182.3600000003</v>
      </c>
      <c r="O974" s="32">
        <v>0</v>
      </c>
      <c r="P974" s="32">
        <v>0</v>
      </c>
      <c r="Q974" s="32">
        <v>0</v>
      </c>
      <c r="R974" s="32">
        <v>0</v>
      </c>
      <c r="S974" s="32">
        <v>0</v>
      </c>
      <c r="T974" s="32">
        <v>0</v>
      </c>
      <c r="U974" s="32">
        <v>0</v>
      </c>
      <c r="V974" s="32">
        <v>0</v>
      </c>
      <c r="W974" s="32">
        <v>0</v>
      </c>
      <c r="X974" s="32">
        <v>0</v>
      </c>
      <c r="Y974" s="32">
        <v>0</v>
      </c>
      <c r="Z974" s="32">
        <v>0</v>
      </c>
      <c r="AA974" s="32">
        <v>0</v>
      </c>
      <c r="AB974" s="32">
        <v>0</v>
      </c>
      <c r="AC974" s="32">
        <f t="shared" ref="AC974:AC978" si="441">ROUND(N974*1.5%,2)</f>
        <v>48347.74</v>
      </c>
      <c r="AD974" s="32">
        <v>0</v>
      </c>
      <c r="AE974" s="32">
        <v>120000</v>
      </c>
      <c r="AF974" s="35" t="s">
        <v>275</v>
      </c>
      <c r="AG974" s="35">
        <v>2022</v>
      </c>
      <c r="AH974" s="36">
        <v>2022</v>
      </c>
      <c r="AT974" s="21" t="e">
        <f t="shared" si="431"/>
        <v>#N/A</v>
      </c>
    </row>
    <row r="975" spans="1:46" ht="61.5" x14ac:dyDescent="0.85">
      <c r="A975" s="21">
        <v>1</v>
      </c>
      <c r="B975" s="70">
        <f>SUBTOTAL(103,$A$896:A975)</f>
        <v>78</v>
      </c>
      <c r="C975" s="25" t="s">
        <v>447</v>
      </c>
      <c r="D975" s="32">
        <f t="shared" si="438"/>
        <v>8090003.5300000003</v>
      </c>
      <c r="E975" s="32">
        <v>0</v>
      </c>
      <c r="F975" s="32">
        <v>0</v>
      </c>
      <c r="G975" s="32">
        <v>0</v>
      </c>
      <c r="H975" s="32">
        <v>0</v>
      </c>
      <c r="I975" s="32">
        <v>0</v>
      </c>
      <c r="J975" s="32">
        <v>0</v>
      </c>
      <c r="K975" s="34">
        <v>0</v>
      </c>
      <c r="L975" s="32">
        <v>0</v>
      </c>
      <c r="M975" s="32">
        <v>1714</v>
      </c>
      <c r="N975" s="32">
        <v>7970446.8300000001</v>
      </c>
      <c r="O975" s="32">
        <v>0</v>
      </c>
      <c r="P975" s="32">
        <v>0</v>
      </c>
      <c r="Q975" s="32">
        <v>0</v>
      </c>
      <c r="R975" s="32">
        <v>0</v>
      </c>
      <c r="S975" s="32">
        <v>0</v>
      </c>
      <c r="T975" s="32">
        <v>0</v>
      </c>
      <c r="U975" s="32">
        <v>0</v>
      </c>
      <c r="V975" s="32">
        <v>0</v>
      </c>
      <c r="W975" s="32">
        <v>0</v>
      </c>
      <c r="X975" s="32">
        <v>0</v>
      </c>
      <c r="Y975" s="32">
        <v>0</v>
      </c>
      <c r="Z975" s="32">
        <v>0</v>
      </c>
      <c r="AA975" s="32">
        <v>0</v>
      </c>
      <c r="AB975" s="32">
        <v>0</v>
      </c>
      <c r="AC975" s="32">
        <f t="shared" si="441"/>
        <v>119556.7</v>
      </c>
      <c r="AD975" s="32">
        <v>0</v>
      </c>
      <c r="AE975" s="32">
        <v>0</v>
      </c>
      <c r="AF975" s="35" t="s">
        <v>275</v>
      </c>
      <c r="AG975" s="35">
        <v>2022</v>
      </c>
      <c r="AH975" s="36">
        <v>2022</v>
      </c>
      <c r="AT975" s="21" t="e">
        <f t="shared" si="431"/>
        <v>#N/A</v>
      </c>
    </row>
    <row r="976" spans="1:46" ht="61.5" x14ac:dyDescent="0.85">
      <c r="A976" s="21">
        <v>1</v>
      </c>
      <c r="B976" s="70">
        <f>SUBTOTAL(103,$A$896:A976)</f>
        <v>79</v>
      </c>
      <c r="C976" s="25" t="s">
        <v>448</v>
      </c>
      <c r="D976" s="32">
        <f t="shared" si="438"/>
        <v>2744983.73</v>
      </c>
      <c r="E976" s="32">
        <v>0</v>
      </c>
      <c r="F976" s="32">
        <v>0</v>
      </c>
      <c r="G976" s="32">
        <v>0</v>
      </c>
      <c r="H976" s="32">
        <v>0</v>
      </c>
      <c r="I976" s="32">
        <v>0</v>
      </c>
      <c r="J976" s="32">
        <v>0</v>
      </c>
      <c r="K976" s="34">
        <v>0</v>
      </c>
      <c r="L976" s="32">
        <v>0</v>
      </c>
      <c r="M976" s="32">
        <v>600</v>
      </c>
      <c r="N976" s="32">
        <v>2704417.47</v>
      </c>
      <c r="O976" s="32">
        <v>0</v>
      </c>
      <c r="P976" s="32">
        <v>0</v>
      </c>
      <c r="Q976" s="32">
        <v>0</v>
      </c>
      <c r="R976" s="32">
        <v>0</v>
      </c>
      <c r="S976" s="32">
        <v>0</v>
      </c>
      <c r="T976" s="32">
        <v>0</v>
      </c>
      <c r="U976" s="32">
        <v>0</v>
      </c>
      <c r="V976" s="32">
        <v>0</v>
      </c>
      <c r="W976" s="32">
        <v>0</v>
      </c>
      <c r="X976" s="32">
        <v>0</v>
      </c>
      <c r="Y976" s="32">
        <v>0</v>
      </c>
      <c r="Z976" s="32">
        <v>0</v>
      </c>
      <c r="AA976" s="32">
        <v>0</v>
      </c>
      <c r="AB976" s="32">
        <v>0</v>
      </c>
      <c r="AC976" s="32">
        <f t="shared" si="441"/>
        <v>40566.26</v>
      </c>
      <c r="AD976" s="32">
        <v>0</v>
      </c>
      <c r="AE976" s="32">
        <v>0</v>
      </c>
      <c r="AF976" s="35" t="s">
        <v>275</v>
      </c>
      <c r="AG976" s="35">
        <v>2022</v>
      </c>
      <c r="AH976" s="36">
        <v>2022</v>
      </c>
      <c r="AT976" s="21" t="e">
        <f t="shared" si="431"/>
        <v>#N/A</v>
      </c>
    </row>
    <row r="977" spans="1:46" ht="61.5" x14ac:dyDescent="0.85">
      <c r="A977" s="21">
        <v>1</v>
      </c>
      <c r="B977" s="70">
        <f>SUBTOTAL(103,$A$896:A977)</f>
        <v>80</v>
      </c>
      <c r="C977" s="25" t="s">
        <v>449</v>
      </c>
      <c r="D977" s="32">
        <f t="shared" si="438"/>
        <v>1568740.5100000002</v>
      </c>
      <c r="E977" s="32">
        <v>0</v>
      </c>
      <c r="F977" s="32">
        <v>0</v>
      </c>
      <c r="G977" s="32">
        <v>0</v>
      </c>
      <c r="H977" s="32">
        <v>0</v>
      </c>
      <c r="I977" s="32">
        <v>0</v>
      </c>
      <c r="J977" s="32">
        <v>0</v>
      </c>
      <c r="K977" s="34">
        <v>0</v>
      </c>
      <c r="L977" s="32">
        <v>0</v>
      </c>
      <c r="M977" s="32">
        <v>350</v>
      </c>
      <c r="N977" s="32">
        <v>1545557.1500000001</v>
      </c>
      <c r="O977" s="32">
        <v>0</v>
      </c>
      <c r="P977" s="32">
        <v>0</v>
      </c>
      <c r="Q977" s="32">
        <v>0</v>
      </c>
      <c r="R977" s="32">
        <v>0</v>
      </c>
      <c r="S977" s="32">
        <v>0</v>
      </c>
      <c r="T977" s="32">
        <v>0</v>
      </c>
      <c r="U977" s="32">
        <v>0</v>
      </c>
      <c r="V977" s="32">
        <v>0</v>
      </c>
      <c r="W977" s="32">
        <v>0</v>
      </c>
      <c r="X977" s="32">
        <v>0</v>
      </c>
      <c r="Y977" s="32">
        <v>0</v>
      </c>
      <c r="Z977" s="32">
        <v>0</v>
      </c>
      <c r="AA977" s="32">
        <v>0</v>
      </c>
      <c r="AB977" s="32">
        <v>0</v>
      </c>
      <c r="AC977" s="32">
        <f t="shared" si="441"/>
        <v>23183.360000000001</v>
      </c>
      <c r="AD977" s="32">
        <v>0</v>
      </c>
      <c r="AE977" s="32">
        <v>0</v>
      </c>
      <c r="AF977" s="35" t="s">
        <v>275</v>
      </c>
      <c r="AG977" s="35">
        <v>2022</v>
      </c>
      <c r="AH977" s="36">
        <v>2022</v>
      </c>
      <c r="AT977" s="21" t="e">
        <f t="shared" ref="AT977:AT1008" si="442">VLOOKUP(C977,AW:AX,2,FALSE)</f>
        <v>#N/A</v>
      </c>
    </row>
    <row r="978" spans="1:46" ht="61.5" x14ac:dyDescent="0.85">
      <c r="A978" s="21">
        <v>1</v>
      </c>
      <c r="B978" s="70">
        <f>SUBTOTAL(103,$A$896:A978)</f>
        <v>81</v>
      </c>
      <c r="C978" s="25" t="s">
        <v>210</v>
      </c>
      <c r="D978" s="32">
        <f t="shared" si="438"/>
        <v>4671497.92</v>
      </c>
      <c r="E978" s="32">
        <v>0</v>
      </c>
      <c r="F978" s="32">
        <v>0</v>
      </c>
      <c r="G978" s="32">
        <v>0</v>
      </c>
      <c r="H978" s="32">
        <v>0</v>
      </c>
      <c r="I978" s="32">
        <v>0</v>
      </c>
      <c r="J978" s="32">
        <v>0</v>
      </c>
      <c r="K978" s="34">
        <v>0</v>
      </c>
      <c r="L978" s="32">
        <v>0</v>
      </c>
      <c r="M978" s="32">
        <v>999</v>
      </c>
      <c r="N978" s="32">
        <v>4602461</v>
      </c>
      <c r="O978" s="32">
        <v>0</v>
      </c>
      <c r="P978" s="32">
        <v>0</v>
      </c>
      <c r="Q978" s="32">
        <v>0</v>
      </c>
      <c r="R978" s="32">
        <v>0</v>
      </c>
      <c r="S978" s="32">
        <v>0</v>
      </c>
      <c r="T978" s="32">
        <v>0</v>
      </c>
      <c r="U978" s="32">
        <v>0</v>
      </c>
      <c r="V978" s="32">
        <v>0</v>
      </c>
      <c r="W978" s="32">
        <v>0</v>
      </c>
      <c r="X978" s="32">
        <v>0</v>
      </c>
      <c r="Y978" s="32">
        <v>0</v>
      </c>
      <c r="Z978" s="32">
        <v>0</v>
      </c>
      <c r="AA978" s="32">
        <v>0</v>
      </c>
      <c r="AB978" s="32">
        <v>0</v>
      </c>
      <c r="AC978" s="32">
        <f t="shared" si="441"/>
        <v>69036.92</v>
      </c>
      <c r="AD978" s="32">
        <v>0</v>
      </c>
      <c r="AE978" s="32">
        <v>0</v>
      </c>
      <c r="AF978" s="35" t="s">
        <v>275</v>
      </c>
      <c r="AG978" s="35">
        <v>2022</v>
      </c>
      <c r="AH978" s="36">
        <v>2022</v>
      </c>
      <c r="AT978" s="21" t="e">
        <f t="shared" si="442"/>
        <v>#N/A</v>
      </c>
    </row>
    <row r="979" spans="1:46" ht="61.5" x14ac:dyDescent="0.85">
      <c r="A979" s="21">
        <v>1</v>
      </c>
      <c r="B979" s="70">
        <f>SUBTOTAL(103,$A$896:A979)</f>
        <v>82</v>
      </c>
      <c r="C979" s="25" t="s">
        <v>211</v>
      </c>
      <c r="D979" s="32">
        <f t="shared" si="438"/>
        <v>457907</v>
      </c>
      <c r="E979" s="32">
        <v>0</v>
      </c>
      <c r="F979" s="32">
        <v>0</v>
      </c>
      <c r="G979" s="32">
        <v>0</v>
      </c>
      <c r="H979" s="32">
        <v>0</v>
      </c>
      <c r="I979" s="32">
        <v>451139.9</v>
      </c>
      <c r="J979" s="32">
        <v>0</v>
      </c>
      <c r="K979" s="34">
        <v>0</v>
      </c>
      <c r="L979" s="32">
        <v>0</v>
      </c>
      <c r="M979" s="32">
        <v>0</v>
      </c>
      <c r="N979" s="32">
        <v>0</v>
      </c>
      <c r="O979" s="32">
        <v>0</v>
      </c>
      <c r="P979" s="32">
        <v>0</v>
      </c>
      <c r="Q979" s="32">
        <v>0</v>
      </c>
      <c r="R979" s="32">
        <v>0</v>
      </c>
      <c r="S979" s="32">
        <v>0</v>
      </c>
      <c r="T979" s="32">
        <v>0</v>
      </c>
      <c r="U979" s="32">
        <v>0</v>
      </c>
      <c r="V979" s="32">
        <v>0</v>
      </c>
      <c r="W979" s="32">
        <v>0</v>
      </c>
      <c r="X979" s="32">
        <v>0</v>
      </c>
      <c r="Y979" s="32">
        <v>0</v>
      </c>
      <c r="Z979" s="32">
        <v>0</v>
      </c>
      <c r="AA979" s="32">
        <v>0</v>
      </c>
      <c r="AB979" s="32">
        <v>0</v>
      </c>
      <c r="AC979" s="32">
        <f t="shared" ref="AC979:AC981" si="443">ROUND((E979+F979+G979+H979+I979+J979)*1.5%,2)</f>
        <v>6767.1</v>
      </c>
      <c r="AD979" s="32">
        <v>0</v>
      </c>
      <c r="AE979" s="32">
        <v>0</v>
      </c>
      <c r="AF979" s="35" t="s">
        <v>275</v>
      </c>
      <c r="AG979" s="35">
        <v>2022</v>
      </c>
      <c r="AH979" s="36">
        <v>2022</v>
      </c>
      <c r="AT979" s="21" t="e">
        <f t="shared" si="442"/>
        <v>#N/A</v>
      </c>
    </row>
    <row r="980" spans="1:46" ht="61.5" x14ac:dyDescent="0.85">
      <c r="A980" s="21">
        <v>1</v>
      </c>
      <c r="B980" s="70">
        <f>SUBTOTAL(103,$A$896:A980)</f>
        <v>83</v>
      </c>
      <c r="C980" s="25" t="s">
        <v>212</v>
      </c>
      <c r="D980" s="32">
        <f t="shared" si="438"/>
        <v>632281</v>
      </c>
      <c r="E980" s="32">
        <v>0</v>
      </c>
      <c r="F980" s="32">
        <v>0</v>
      </c>
      <c r="G980" s="32">
        <v>0</v>
      </c>
      <c r="H980" s="32">
        <v>0</v>
      </c>
      <c r="I980" s="32">
        <v>622936.94999999995</v>
      </c>
      <c r="J980" s="32">
        <v>0</v>
      </c>
      <c r="K980" s="34">
        <v>0</v>
      </c>
      <c r="L980" s="32">
        <v>0</v>
      </c>
      <c r="M980" s="32">
        <v>0</v>
      </c>
      <c r="N980" s="32">
        <v>0</v>
      </c>
      <c r="O980" s="32">
        <v>0</v>
      </c>
      <c r="P980" s="32">
        <v>0</v>
      </c>
      <c r="Q980" s="32">
        <v>0</v>
      </c>
      <c r="R980" s="32">
        <v>0</v>
      </c>
      <c r="S980" s="32">
        <v>0</v>
      </c>
      <c r="T980" s="32">
        <v>0</v>
      </c>
      <c r="U980" s="32">
        <v>0</v>
      </c>
      <c r="V980" s="32">
        <v>0</v>
      </c>
      <c r="W980" s="32">
        <v>0</v>
      </c>
      <c r="X980" s="32">
        <v>0</v>
      </c>
      <c r="Y980" s="32">
        <v>0</v>
      </c>
      <c r="Z980" s="32">
        <v>0</v>
      </c>
      <c r="AA980" s="32">
        <v>0</v>
      </c>
      <c r="AB980" s="32">
        <v>0</v>
      </c>
      <c r="AC980" s="32">
        <f t="shared" si="443"/>
        <v>9344.0499999999993</v>
      </c>
      <c r="AD980" s="32">
        <v>0</v>
      </c>
      <c r="AE980" s="32">
        <v>0</v>
      </c>
      <c r="AF980" s="35" t="s">
        <v>275</v>
      </c>
      <c r="AG980" s="35">
        <v>2022</v>
      </c>
      <c r="AH980" s="36">
        <v>2022</v>
      </c>
      <c r="AT980" s="21" t="e">
        <f t="shared" si="442"/>
        <v>#N/A</v>
      </c>
    </row>
    <row r="981" spans="1:46" ht="61.5" x14ac:dyDescent="0.85">
      <c r="A981" s="21">
        <v>1</v>
      </c>
      <c r="B981" s="70">
        <f>SUBTOTAL(103,$A$896:A981)</f>
        <v>84</v>
      </c>
      <c r="C981" s="25" t="s">
        <v>213</v>
      </c>
      <c r="D981" s="32">
        <f t="shared" si="438"/>
        <v>731529</v>
      </c>
      <c r="E981" s="32">
        <v>0</v>
      </c>
      <c r="F981" s="32">
        <v>0</v>
      </c>
      <c r="G981" s="32">
        <v>0</v>
      </c>
      <c r="H981" s="32">
        <v>0</v>
      </c>
      <c r="I981" s="32">
        <v>720718.23</v>
      </c>
      <c r="J981" s="32">
        <v>0</v>
      </c>
      <c r="K981" s="34">
        <v>0</v>
      </c>
      <c r="L981" s="32">
        <v>0</v>
      </c>
      <c r="M981" s="32">
        <v>0</v>
      </c>
      <c r="N981" s="32">
        <v>0</v>
      </c>
      <c r="O981" s="32">
        <v>0</v>
      </c>
      <c r="P981" s="32">
        <v>0</v>
      </c>
      <c r="Q981" s="32">
        <v>0</v>
      </c>
      <c r="R981" s="32">
        <v>0</v>
      </c>
      <c r="S981" s="32">
        <v>0</v>
      </c>
      <c r="T981" s="32">
        <v>0</v>
      </c>
      <c r="U981" s="32">
        <v>0</v>
      </c>
      <c r="V981" s="32">
        <v>0</v>
      </c>
      <c r="W981" s="32">
        <v>0</v>
      </c>
      <c r="X981" s="32">
        <v>0</v>
      </c>
      <c r="Y981" s="32">
        <v>0</v>
      </c>
      <c r="Z981" s="32">
        <v>0</v>
      </c>
      <c r="AA981" s="32">
        <v>0</v>
      </c>
      <c r="AB981" s="32">
        <v>0</v>
      </c>
      <c r="AC981" s="32">
        <f t="shared" si="443"/>
        <v>10810.77</v>
      </c>
      <c r="AD981" s="32">
        <v>0</v>
      </c>
      <c r="AE981" s="32">
        <v>0</v>
      </c>
      <c r="AF981" s="35" t="s">
        <v>275</v>
      </c>
      <c r="AG981" s="35">
        <v>2022</v>
      </c>
      <c r="AH981" s="36">
        <v>2022</v>
      </c>
      <c r="AT981" s="21" t="e">
        <f t="shared" si="442"/>
        <v>#N/A</v>
      </c>
    </row>
    <row r="982" spans="1:46" ht="61.5" x14ac:dyDescent="0.85">
      <c r="A982" s="21">
        <v>1</v>
      </c>
      <c r="B982" s="70">
        <f>SUBTOTAL(103,$A$896:A982)</f>
        <v>85</v>
      </c>
      <c r="C982" s="25" t="s">
        <v>450</v>
      </c>
      <c r="D982" s="32">
        <f t="shared" si="438"/>
        <v>4760772.24</v>
      </c>
      <c r="E982" s="32">
        <v>0</v>
      </c>
      <c r="F982" s="32">
        <v>0</v>
      </c>
      <c r="G982" s="32">
        <v>0</v>
      </c>
      <c r="H982" s="32">
        <v>0</v>
      </c>
      <c r="I982" s="32">
        <v>0</v>
      </c>
      <c r="J982" s="32">
        <v>0</v>
      </c>
      <c r="K982" s="34">
        <v>0</v>
      </c>
      <c r="L982" s="32">
        <v>0</v>
      </c>
      <c r="M982" s="32">
        <v>1024</v>
      </c>
      <c r="N982" s="32">
        <v>4690416</v>
      </c>
      <c r="O982" s="32">
        <v>0</v>
      </c>
      <c r="P982" s="32">
        <v>0</v>
      </c>
      <c r="Q982" s="32">
        <v>0</v>
      </c>
      <c r="R982" s="32">
        <v>0</v>
      </c>
      <c r="S982" s="32">
        <v>0</v>
      </c>
      <c r="T982" s="32">
        <v>0</v>
      </c>
      <c r="U982" s="32">
        <v>0</v>
      </c>
      <c r="V982" s="32">
        <v>0</v>
      </c>
      <c r="W982" s="32">
        <v>0</v>
      </c>
      <c r="X982" s="32">
        <v>0</v>
      </c>
      <c r="Y982" s="32">
        <v>0</v>
      </c>
      <c r="Z982" s="32">
        <v>0</v>
      </c>
      <c r="AA982" s="32">
        <v>0</v>
      </c>
      <c r="AB982" s="32">
        <v>0</v>
      </c>
      <c r="AC982" s="32">
        <f>ROUND(N982*1.5%,2)</f>
        <v>70356.240000000005</v>
      </c>
      <c r="AD982" s="32">
        <v>0</v>
      </c>
      <c r="AE982" s="32">
        <v>0</v>
      </c>
      <c r="AF982" s="35" t="s">
        <v>275</v>
      </c>
      <c r="AG982" s="35">
        <v>2022</v>
      </c>
      <c r="AH982" s="36">
        <v>2022</v>
      </c>
      <c r="AT982" s="21" t="e">
        <f t="shared" si="442"/>
        <v>#N/A</v>
      </c>
    </row>
    <row r="983" spans="1:46" ht="61.5" x14ac:dyDescent="0.85">
      <c r="A983" s="21">
        <v>1</v>
      </c>
      <c r="B983" s="70">
        <f>SUBTOTAL(103,$A$896:A983)</f>
        <v>86</v>
      </c>
      <c r="C983" s="25" t="s">
        <v>451</v>
      </c>
      <c r="D983" s="32">
        <f t="shared" si="438"/>
        <v>4331631.53</v>
      </c>
      <c r="E983" s="32">
        <v>0</v>
      </c>
      <c r="F983" s="32">
        <v>0</v>
      </c>
      <c r="G983" s="32">
        <v>0</v>
      </c>
      <c r="H983" s="32">
        <v>0</v>
      </c>
      <c r="I983" s="32">
        <v>0</v>
      </c>
      <c r="J983" s="32">
        <v>0</v>
      </c>
      <c r="K983" s="34">
        <v>2</v>
      </c>
      <c r="L983" s="32">
        <v>4331631.53</v>
      </c>
      <c r="M983" s="32">
        <v>0</v>
      </c>
      <c r="N983" s="32">
        <v>0</v>
      </c>
      <c r="O983" s="32">
        <v>0</v>
      </c>
      <c r="P983" s="32">
        <v>0</v>
      </c>
      <c r="Q983" s="32">
        <v>0</v>
      </c>
      <c r="R983" s="32">
        <v>0</v>
      </c>
      <c r="S983" s="32">
        <v>0</v>
      </c>
      <c r="T983" s="32">
        <v>0</v>
      </c>
      <c r="U983" s="32">
        <v>0</v>
      </c>
      <c r="V983" s="32">
        <v>0</v>
      </c>
      <c r="W983" s="32">
        <v>0</v>
      </c>
      <c r="X983" s="32">
        <v>0</v>
      </c>
      <c r="Y983" s="32">
        <v>0</v>
      </c>
      <c r="Z983" s="32">
        <v>0</v>
      </c>
      <c r="AA983" s="32">
        <v>0</v>
      </c>
      <c r="AB983" s="32">
        <v>0</v>
      </c>
      <c r="AC983" s="32">
        <v>0</v>
      </c>
      <c r="AD983" s="32">
        <v>0</v>
      </c>
      <c r="AE983" s="32">
        <v>0</v>
      </c>
      <c r="AF983" s="35" t="s">
        <v>275</v>
      </c>
      <c r="AG983" s="35">
        <v>2022</v>
      </c>
      <c r="AH983" s="36" t="s">
        <v>275</v>
      </c>
      <c r="AT983" s="21">
        <f t="shared" si="442"/>
        <v>1</v>
      </c>
    </row>
    <row r="984" spans="1:46" ht="61.5" x14ac:dyDescent="0.85">
      <c r="A984" s="21">
        <v>1</v>
      </c>
      <c r="B984" s="70">
        <f>SUBTOTAL(103,$A$896:A984)</f>
        <v>87</v>
      </c>
      <c r="C984" s="25" t="s">
        <v>452</v>
      </c>
      <c r="D984" s="32">
        <f t="shared" si="438"/>
        <v>2789948.7</v>
      </c>
      <c r="E984" s="32">
        <v>0</v>
      </c>
      <c r="F984" s="32">
        <v>0</v>
      </c>
      <c r="G984" s="32">
        <v>0</v>
      </c>
      <c r="H984" s="32">
        <v>0</v>
      </c>
      <c r="I984" s="32">
        <v>0</v>
      </c>
      <c r="J984" s="32">
        <v>0</v>
      </c>
      <c r="K984" s="34">
        <v>0</v>
      </c>
      <c r="L984" s="32">
        <v>0</v>
      </c>
      <c r="M984" s="32">
        <v>600</v>
      </c>
      <c r="N984" s="32">
        <v>2748717.93</v>
      </c>
      <c r="O984" s="32">
        <v>0</v>
      </c>
      <c r="P984" s="32">
        <v>0</v>
      </c>
      <c r="Q984" s="32">
        <v>0</v>
      </c>
      <c r="R984" s="32">
        <v>0</v>
      </c>
      <c r="S984" s="32">
        <v>0</v>
      </c>
      <c r="T984" s="32">
        <v>0</v>
      </c>
      <c r="U984" s="32">
        <v>0</v>
      </c>
      <c r="V984" s="32">
        <v>0</v>
      </c>
      <c r="W984" s="32">
        <v>0</v>
      </c>
      <c r="X984" s="32">
        <v>0</v>
      </c>
      <c r="Y984" s="32">
        <v>0</v>
      </c>
      <c r="Z984" s="32">
        <v>0</v>
      </c>
      <c r="AA984" s="32">
        <v>0</v>
      </c>
      <c r="AB984" s="32">
        <v>0</v>
      </c>
      <c r="AC984" s="32">
        <f t="shared" ref="AC984:AC991" si="444">ROUND(N984*1.5%,2)</f>
        <v>41230.769999999997</v>
      </c>
      <c r="AD984" s="32">
        <v>0</v>
      </c>
      <c r="AE984" s="32">
        <v>0</v>
      </c>
      <c r="AF984" s="35" t="s">
        <v>275</v>
      </c>
      <c r="AG984" s="35">
        <v>2022</v>
      </c>
      <c r="AH984" s="36">
        <v>2022</v>
      </c>
      <c r="AT984" s="21" t="e">
        <f t="shared" si="442"/>
        <v>#N/A</v>
      </c>
    </row>
    <row r="985" spans="1:46" ht="61.5" x14ac:dyDescent="0.85">
      <c r="A985" s="21">
        <v>1</v>
      </c>
      <c r="B985" s="70">
        <f>SUBTOTAL(103,$A$896:A985)</f>
        <v>88</v>
      </c>
      <c r="C985" s="25" t="s">
        <v>453</v>
      </c>
      <c r="D985" s="32">
        <f t="shared" si="438"/>
        <v>3242314.75</v>
      </c>
      <c r="E985" s="32">
        <v>0</v>
      </c>
      <c r="F985" s="32">
        <v>0</v>
      </c>
      <c r="G985" s="32">
        <v>0</v>
      </c>
      <c r="H985" s="32">
        <v>0</v>
      </c>
      <c r="I985" s="32">
        <v>0</v>
      </c>
      <c r="J985" s="32">
        <v>0</v>
      </c>
      <c r="K985" s="34">
        <v>0</v>
      </c>
      <c r="L985" s="32">
        <v>0</v>
      </c>
      <c r="M985" s="32">
        <v>747</v>
      </c>
      <c r="N985" s="32">
        <v>3194398.77</v>
      </c>
      <c r="O985" s="32">
        <v>0</v>
      </c>
      <c r="P985" s="32">
        <v>0</v>
      </c>
      <c r="Q985" s="32">
        <v>0</v>
      </c>
      <c r="R985" s="32">
        <v>0</v>
      </c>
      <c r="S985" s="32">
        <v>0</v>
      </c>
      <c r="T985" s="32">
        <v>0</v>
      </c>
      <c r="U985" s="32">
        <v>0</v>
      </c>
      <c r="V985" s="32">
        <v>0</v>
      </c>
      <c r="W985" s="32">
        <v>0</v>
      </c>
      <c r="X985" s="32">
        <v>0</v>
      </c>
      <c r="Y985" s="32">
        <v>0</v>
      </c>
      <c r="Z985" s="32">
        <v>0</v>
      </c>
      <c r="AA985" s="32">
        <v>0</v>
      </c>
      <c r="AB985" s="32">
        <v>0</v>
      </c>
      <c r="AC985" s="32">
        <f t="shared" si="444"/>
        <v>47915.98</v>
      </c>
      <c r="AD985" s="32">
        <v>0</v>
      </c>
      <c r="AE985" s="32">
        <v>0</v>
      </c>
      <c r="AF985" s="35" t="s">
        <v>275</v>
      </c>
      <c r="AG985" s="35">
        <v>2022</v>
      </c>
      <c r="AH985" s="36">
        <v>2022</v>
      </c>
      <c r="AT985" s="21" t="e">
        <f t="shared" si="442"/>
        <v>#N/A</v>
      </c>
    </row>
    <row r="986" spans="1:46" ht="61.5" x14ac:dyDescent="0.85">
      <c r="A986" s="21">
        <v>1</v>
      </c>
      <c r="B986" s="70">
        <f>SUBTOTAL(103,$A$896:A986)</f>
        <v>89</v>
      </c>
      <c r="C986" s="25" t="s">
        <v>454</v>
      </c>
      <c r="D986" s="32">
        <f t="shared" si="438"/>
        <v>2210461.9000000004</v>
      </c>
      <c r="E986" s="32">
        <v>0</v>
      </c>
      <c r="F986" s="32">
        <v>0</v>
      </c>
      <c r="G986" s="32">
        <v>0</v>
      </c>
      <c r="H986" s="32">
        <v>0</v>
      </c>
      <c r="I986" s="32">
        <v>0</v>
      </c>
      <c r="J986" s="32">
        <v>0</v>
      </c>
      <c r="K986" s="34">
        <v>0</v>
      </c>
      <c r="L986" s="32">
        <v>0</v>
      </c>
      <c r="M986" s="32">
        <v>483</v>
      </c>
      <c r="N986" s="32">
        <v>2177794.9800000004</v>
      </c>
      <c r="O986" s="32">
        <v>0</v>
      </c>
      <c r="P986" s="32">
        <v>0</v>
      </c>
      <c r="Q986" s="32">
        <v>0</v>
      </c>
      <c r="R986" s="32">
        <v>0</v>
      </c>
      <c r="S986" s="32">
        <v>0</v>
      </c>
      <c r="T986" s="32">
        <v>0</v>
      </c>
      <c r="U986" s="32">
        <v>0</v>
      </c>
      <c r="V986" s="32">
        <v>0</v>
      </c>
      <c r="W986" s="32">
        <v>0</v>
      </c>
      <c r="X986" s="32">
        <v>0</v>
      </c>
      <c r="Y986" s="32">
        <v>0</v>
      </c>
      <c r="Z986" s="32">
        <v>0</v>
      </c>
      <c r="AA986" s="32">
        <v>0</v>
      </c>
      <c r="AB986" s="32">
        <v>0</v>
      </c>
      <c r="AC986" s="32">
        <f t="shared" si="444"/>
        <v>32666.92</v>
      </c>
      <c r="AD986" s="32">
        <v>0</v>
      </c>
      <c r="AE986" s="32">
        <v>0</v>
      </c>
      <c r="AF986" s="35" t="s">
        <v>275</v>
      </c>
      <c r="AG986" s="35">
        <v>2022</v>
      </c>
      <c r="AH986" s="36">
        <v>2022</v>
      </c>
      <c r="AT986" s="21" t="e">
        <f t="shared" si="442"/>
        <v>#N/A</v>
      </c>
    </row>
    <row r="987" spans="1:46" ht="61.5" x14ac:dyDescent="0.85">
      <c r="A987" s="21">
        <v>1</v>
      </c>
      <c r="B987" s="70">
        <f>SUBTOTAL(103,$A$896:A987)</f>
        <v>90</v>
      </c>
      <c r="C987" s="25" t="s">
        <v>455</v>
      </c>
      <c r="D987" s="32">
        <f t="shared" si="438"/>
        <v>7557284.3099999996</v>
      </c>
      <c r="E987" s="32">
        <v>0</v>
      </c>
      <c r="F987" s="32">
        <v>0</v>
      </c>
      <c r="G987" s="32">
        <v>0</v>
      </c>
      <c r="H987" s="32">
        <v>0</v>
      </c>
      <c r="I987" s="32">
        <v>0</v>
      </c>
      <c r="J987" s="32">
        <v>0</v>
      </c>
      <c r="K987" s="34">
        <v>0</v>
      </c>
      <c r="L987" s="32">
        <v>0</v>
      </c>
      <c r="M987" s="32">
        <v>1501</v>
      </c>
      <c r="N987" s="32">
        <v>7445600.3099999996</v>
      </c>
      <c r="O987" s="32">
        <v>0</v>
      </c>
      <c r="P987" s="32">
        <v>0</v>
      </c>
      <c r="Q987" s="32">
        <v>0</v>
      </c>
      <c r="R987" s="32">
        <v>0</v>
      </c>
      <c r="S987" s="32">
        <v>0</v>
      </c>
      <c r="T987" s="32">
        <v>0</v>
      </c>
      <c r="U987" s="32">
        <v>0</v>
      </c>
      <c r="V987" s="32">
        <v>0</v>
      </c>
      <c r="W987" s="32">
        <v>0</v>
      </c>
      <c r="X987" s="32">
        <v>0</v>
      </c>
      <c r="Y987" s="32">
        <v>0</v>
      </c>
      <c r="Z987" s="32">
        <v>0</v>
      </c>
      <c r="AA987" s="32">
        <v>0</v>
      </c>
      <c r="AB987" s="32">
        <v>0</v>
      </c>
      <c r="AC987" s="32">
        <f t="shared" si="444"/>
        <v>111684</v>
      </c>
      <c r="AD987" s="32">
        <v>0</v>
      </c>
      <c r="AE987" s="32">
        <v>0</v>
      </c>
      <c r="AF987" s="35" t="s">
        <v>275</v>
      </c>
      <c r="AG987" s="35">
        <v>2022</v>
      </c>
      <c r="AH987" s="36">
        <v>2022</v>
      </c>
      <c r="AT987" s="21" t="e">
        <f t="shared" si="442"/>
        <v>#N/A</v>
      </c>
    </row>
    <row r="988" spans="1:46" ht="61.5" x14ac:dyDescent="0.85">
      <c r="A988" s="21">
        <v>1</v>
      </c>
      <c r="B988" s="70">
        <f>SUBTOTAL(103,$A$896:A988)</f>
        <v>91</v>
      </c>
      <c r="C988" s="25" t="s">
        <v>456</v>
      </c>
      <c r="D988" s="32">
        <f t="shared" si="438"/>
        <v>3073377.74</v>
      </c>
      <c r="E988" s="32">
        <v>0</v>
      </c>
      <c r="F988" s="32">
        <v>0</v>
      </c>
      <c r="G988" s="32">
        <v>0</v>
      </c>
      <c r="H988" s="32">
        <v>0</v>
      </c>
      <c r="I988" s="32">
        <v>0</v>
      </c>
      <c r="J988" s="32">
        <v>0</v>
      </c>
      <c r="K988" s="34">
        <v>0</v>
      </c>
      <c r="L988" s="32">
        <v>0</v>
      </c>
      <c r="M988" s="32">
        <v>600</v>
      </c>
      <c r="N988" s="32">
        <v>3027958.3600000003</v>
      </c>
      <c r="O988" s="32">
        <v>0</v>
      </c>
      <c r="P988" s="32">
        <v>0</v>
      </c>
      <c r="Q988" s="32">
        <v>0</v>
      </c>
      <c r="R988" s="32">
        <v>0</v>
      </c>
      <c r="S988" s="32">
        <v>0</v>
      </c>
      <c r="T988" s="32">
        <v>0</v>
      </c>
      <c r="U988" s="32">
        <v>0</v>
      </c>
      <c r="V988" s="32">
        <v>0</v>
      </c>
      <c r="W988" s="32">
        <v>0</v>
      </c>
      <c r="X988" s="32">
        <v>0</v>
      </c>
      <c r="Y988" s="32">
        <v>0</v>
      </c>
      <c r="Z988" s="32">
        <v>0</v>
      </c>
      <c r="AA988" s="32">
        <v>0</v>
      </c>
      <c r="AB988" s="32">
        <v>0</v>
      </c>
      <c r="AC988" s="32">
        <f t="shared" si="444"/>
        <v>45419.38</v>
      </c>
      <c r="AD988" s="32">
        <v>0</v>
      </c>
      <c r="AE988" s="32">
        <v>0</v>
      </c>
      <c r="AF988" s="35" t="s">
        <v>275</v>
      </c>
      <c r="AG988" s="35">
        <v>2022</v>
      </c>
      <c r="AH988" s="36">
        <v>2022</v>
      </c>
      <c r="AT988" s="21" t="e">
        <f t="shared" si="442"/>
        <v>#N/A</v>
      </c>
    </row>
    <row r="989" spans="1:46" ht="61.5" x14ac:dyDescent="0.85">
      <c r="A989" s="21">
        <v>1</v>
      </c>
      <c r="B989" s="70">
        <f>SUBTOTAL(103,$A$896:A989)</f>
        <v>92</v>
      </c>
      <c r="C989" s="25" t="s">
        <v>457</v>
      </c>
      <c r="D989" s="32">
        <f t="shared" si="438"/>
        <v>1665415</v>
      </c>
      <c r="E989" s="32">
        <v>0</v>
      </c>
      <c r="F989" s="32">
        <v>0</v>
      </c>
      <c r="G989" s="32">
        <v>0</v>
      </c>
      <c r="H989" s="32">
        <v>0</v>
      </c>
      <c r="I989" s="32">
        <v>0</v>
      </c>
      <c r="J989" s="32">
        <v>0</v>
      </c>
      <c r="K989" s="34">
        <v>0</v>
      </c>
      <c r="L989" s="32">
        <v>0</v>
      </c>
      <c r="M989" s="32">
        <v>369</v>
      </c>
      <c r="N989" s="32">
        <v>1640802.96</v>
      </c>
      <c r="O989" s="32">
        <v>0</v>
      </c>
      <c r="P989" s="32">
        <v>0</v>
      </c>
      <c r="Q989" s="32">
        <v>0</v>
      </c>
      <c r="R989" s="32">
        <v>0</v>
      </c>
      <c r="S989" s="32">
        <v>0</v>
      </c>
      <c r="T989" s="32">
        <v>0</v>
      </c>
      <c r="U989" s="32">
        <v>0</v>
      </c>
      <c r="V989" s="32">
        <v>0</v>
      </c>
      <c r="W989" s="32">
        <v>0</v>
      </c>
      <c r="X989" s="32">
        <v>0</v>
      </c>
      <c r="Y989" s="32">
        <v>0</v>
      </c>
      <c r="Z989" s="32">
        <v>0</v>
      </c>
      <c r="AA989" s="32">
        <v>0</v>
      </c>
      <c r="AB989" s="32">
        <v>0</v>
      </c>
      <c r="AC989" s="32">
        <f t="shared" si="444"/>
        <v>24612.04</v>
      </c>
      <c r="AD989" s="32">
        <v>0</v>
      </c>
      <c r="AE989" s="32">
        <v>0</v>
      </c>
      <c r="AF989" s="35" t="s">
        <v>275</v>
      </c>
      <c r="AG989" s="35">
        <v>2022</v>
      </c>
      <c r="AH989" s="36">
        <v>2022</v>
      </c>
      <c r="AT989" s="21" t="e">
        <f t="shared" si="442"/>
        <v>#N/A</v>
      </c>
    </row>
    <row r="990" spans="1:46" ht="61.5" x14ac:dyDescent="0.85">
      <c r="A990" s="21">
        <v>1</v>
      </c>
      <c r="B990" s="70">
        <f>SUBTOTAL(103,$A$896:A990)</f>
        <v>93</v>
      </c>
      <c r="C990" s="25" t="s">
        <v>215</v>
      </c>
      <c r="D990" s="32">
        <f t="shared" si="438"/>
        <v>2384110.7700000005</v>
      </c>
      <c r="E990" s="32">
        <v>0</v>
      </c>
      <c r="F990" s="32">
        <v>0</v>
      </c>
      <c r="G990" s="32">
        <v>0</v>
      </c>
      <c r="H990" s="32">
        <v>0</v>
      </c>
      <c r="I990" s="32">
        <v>0</v>
      </c>
      <c r="J990" s="32">
        <v>0</v>
      </c>
      <c r="K990" s="34">
        <v>0</v>
      </c>
      <c r="L990" s="32">
        <v>0</v>
      </c>
      <c r="M990" s="32">
        <v>525</v>
      </c>
      <c r="N990" s="32">
        <v>2348877.6100000003</v>
      </c>
      <c r="O990" s="32">
        <v>0</v>
      </c>
      <c r="P990" s="32">
        <v>0</v>
      </c>
      <c r="Q990" s="32">
        <v>0</v>
      </c>
      <c r="R990" s="32">
        <v>0</v>
      </c>
      <c r="S990" s="32">
        <v>0</v>
      </c>
      <c r="T990" s="32">
        <v>0</v>
      </c>
      <c r="U990" s="32">
        <v>0</v>
      </c>
      <c r="V990" s="32">
        <v>0</v>
      </c>
      <c r="W990" s="32">
        <v>0</v>
      </c>
      <c r="X990" s="32">
        <v>0</v>
      </c>
      <c r="Y990" s="32">
        <v>0</v>
      </c>
      <c r="Z990" s="32">
        <v>0</v>
      </c>
      <c r="AA990" s="32">
        <v>0</v>
      </c>
      <c r="AB990" s="32">
        <v>0</v>
      </c>
      <c r="AC990" s="32">
        <f t="shared" si="444"/>
        <v>35233.160000000003</v>
      </c>
      <c r="AD990" s="32">
        <v>0</v>
      </c>
      <c r="AE990" s="32">
        <v>0</v>
      </c>
      <c r="AF990" s="35" t="s">
        <v>275</v>
      </c>
      <c r="AG990" s="35">
        <v>2022</v>
      </c>
      <c r="AH990" s="36">
        <v>2022</v>
      </c>
      <c r="AT990" s="21" t="e">
        <f t="shared" si="442"/>
        <v>#N/A</v>
      </c>
    </row>
    <row r="991" spans="1:46" ht="61.5" x14ac:dyDescent="0.85">
      <c r="A991" s="21">
        <v>1</v>
      </c>
      <c r="B991" s="70">
        <f>SUBTOTAL(103,$A$896:A991)</f>
        <v>94</v>
      </c>
      <c r="C991" s="25" t="s">
        <v>214</v>
      </c>
      <c r="D991" s="32">
        <f t="shared" si="438"/>
        <v>2817533.3499999996</v>
      </c>
      <c r="E991" s="32">
        <v>0</v>
      </c>
      <c r="F991" s="32">
        <v>0</v>
      </c>
      <c r="G991" s="32">
        <v>0</v>
      </c>
      <c r="H991" s="32">
        <v>0</v>
      </c>
      <c r="I991" s="32">
        <v>0</v>
      </c>
      <c r="J991" s="32">
        <v>0</v>
      </c>
      <c r="K991" s="34">
        <v>0</v>
      </c>
      <c r="L991" s="32">
        <v>0</v>
      </c>
      <c r="M991" s="32">
        <v>614</v>
      </c>
      <c r="N991" s="32">
        <v>2775894.9299999997</v>
      </c>
      <c r="O991" s="32">
        <v>0</v>
      </c>
      <c r="P991" s="32">
        <v>0</v>
      </c>
      <c r="Q991" s="32">
        <v>0</v>
      </c>
      <c r="R991" s="32">
        <v>0</v>
      </c>
      <c r="S991" s="32">
        <v>0</v>
      </c>
      <c r="T991" s="32">
        <v>0</v>
      </c>
      <c r="U991" s="32">
        <v>0</v>
      </c>
      <c r="V991" s="32">
        <v>0</v>
      </c>
      <c r="W991" s="32">
        <v>0</v>
      </c>
      <c r="X991" s="32">
        <v>0</v>
      </c>
      <c r="Y991" s="32">
        <v>0</v>
      </c>
      <c r="Z991" s="32">
        <v>0</v>
      </c>
      <c r="AA991" s="32">
        <v>0</v>
      </c>
      <c r="AB991" s="32">
        <v>0</v>
      </c>
      <c r="AC991" s="32">
        <f t="shared" si="444"/>
        <v>41638.42</v>
      </c>
      <c r="AD991" s="32">
        <v>0</v>
      </c>
      <c r="AE991" s="32">
        <v>0</v>
      </c>
      <c r="AF991" s="35" t="s">
        <v>275</v>
      </c>
      <c r="AG991" s="35">
        <v>2022</v>
      </c>
      <c r="AH991" s="36">
        <v>2022</v>
      </c>
      <c r="AT991" s="21" t="e">
        <f t="shared" si="442"/>
        <v>#N/A</v>
      </c>
    </row>
    <row r="992" spans="1:46" ht="61.5" x14ac:dyDescent="0.85">
      <c r="A992" s="21">
        <v>1</v>
      </c>
      <c r="B992" s="70">
        <f>SUBTOTAL(103,$A$896:A992)</f>
        <v>95</v>
      </c>
      <c r="C992" s="25" t="s">
        <v>458</v>
      </c>
      <c r="D992" s="32">
        <f t="shared" si="438"/>
        <v>4331631.53</v>
      </c>
      <c r="E992" s="32">
        <v>0</v>
      </c>
      <c r="F992" s="32">
        <v>0</v>
      </c>
      <c r="G992" s="32">
        <v>0</v>
      </c>
      <c r="H992" s="32">
        <v>0</v>
      </c>
      <c r="I992" s="32">
        <v>0</v>
      </c>
      <c r="J992" s="32">
        <v>0</v>
      </c>
      <c r="K992" s="34">
        <v>2</v>
      </c>
      <c r="L992" s="32">
        <v>4331631.53</v>
      </c>
      <c r="M992" s="32">
        <v>0</v>
      </c>
      <c r="N992" s="32">
        <v>0</v>
      </c>
      <c r="O992" s="32">
        <v>0</v>
      </c>
      <c r="P992" s="32">
        <v>0</v>
      </c>
      <c r="Q992" s="32">
        <v>0</v>
      </c>
      <c r="R992" s="32">
        <v>0</v>
      </c>
      <c r="S992" s="32">
        <v>0</v>
      </c>
      <c r="T992" s="32">
        <v>0</v>
      </c>
      <c r="U992" s="32">
        <v>0</v>
      </c>
      <c r="V992" s="32">
        <v>0</v>
      </c>
      <c r="W992" s="32">
        <v>0</v>
      </c>
      <c r="X992" s="32">
        <v>0</v>
      </c>
      <c r="Y992" s="32">
        <v>0</v>
      </c>
      <c r="Z992" s="32">
        <v>0</v>
      </c>
      <c r="AA992" s="32">
        <v>0</v>
      </c>
      <c r="AB992" s="32">
        <v>0</v>
      </c>
      <c r="AC992" s="32">
        <v>0</v>
      </c>
      <c r="AD992" s="32">
        <v>0</v>
      </c>
      <c r="AE992" s="32">
        <v>0</v>
      </c>
      <c r="AF992" s="35" t="s">
        <v>275</v>
      </c>
      <c r="AG992" s="35">
        <v>2022</v>
      </c>
      <c r="AH992" s="36" t="s">
        <v>275</v>
      </c>
      <c r="AT992" s="21" t="e">
        <f t="shared" si="442"/>
        <v>#N/A</v>
      </c>
    </row>
    <row r="993" spans="1:46" ht="61.5" x14ac:dyDescent="0.85">
      <c r="A993" s="21">
        <v>1</v>
      </c>
      <c r="B993" s="70">
        <f>SUBTOTAL(103,$A$896:A993)</f>
        <v>96</v>
      </c>
      <c r="C993" s="25" t="s">
        <v>459</v>
      </c>
      <c r="D993" s="32">
        <f t="shared" si="438"/>
        <v>1660239.97</v>
      </c>
      <c r="E993" s="32">
        <v>0</v>
      </c>
      <c r="F993" s="32">
        <v>0</v>
      </c>
      <c r="G993" s="32">
        <v>0</v>
      </c>
      <c r="H993" s="32">
        <v>0</v>
      </c>
      <c r="I993" s="32">
        <v>0</v>
      </c>
      <c r="J993" s="32">
        <v>0</v>
      </c>
      <c r="K993" s="34">
        <v>0</v>
      </c>
      <c r="L993" s="32">
        <v>0</v>
      </c>
      <c r="M993" s="32">
        <v>370</v>
      </c>
      <c r="N993" s="32">
        <v>1635704.4</v>
      </c>
      <c r="O993" s="32">
        <v>0</v>
      </c>
      <c r="P993" s="32">
        <v>0</v>
      </c>
      <c r="Q993" s="32">
        <v>0</v>
      </c>
      <c r="R993" s="32">
        <v>0</v>
      </c>
      <c r="S993" s="32">
        <v>0</v>
      </c>
      <c r="T993" s="32">
        <v>0</v>
      </c>
      <c r="U993" s="32">
        <v>0</v>
      </c>
      <c r="V993" s="32">
        <v>0</v>
      </c>
      <c r="W993" s="32">
        <v>0</v>
      </c>
      <c r="X993" s="32">
        <v>0</v>
      </c>
      <c r="Y993" s="32">
        <v>0</v>
      </c>
      <c r="Z993" s="32">
        <v>0</v>
      </c>
      <c r="AA993" s="32">
        <v>0</v>
      </c>
      <c r="AB993" s="32">
        <v>0</v>
      </c>
      <c r="AC993" s="32">
        <f t="shared" ref="AC993:AC995" si="445">ROUND(N993*1.5%,2)</f>
        <v>24535.57</v>
      </c>
      <c r="AD993" s="32">
        <v>0</v>
      </c>
      <c r="AE993" s="32">
        <v>0</v>
      </c>
      <c r="AF993" s="35" t="s">
        <v>275</v>
      </c>
      <c r="AG993" s="35">
        <v>2022</v>
      </c>
      <c r="AH993" s="36">
        <v>2022</v>
      </c>
      <c r="AT993" s="21" t="e">
        <f t="shared" si="442"/>
        <v>#N/A</v>
      </c>
    </row>
    <row r="994" spans="1:46" ht="61.5" x14ac:dyDescent="0.85">
      <c r="A994" s="21">
        <v>1</v>
      </c>
      <c r="B994" s="70">
        <f>SUBTOTAL(103,$A$896:A994)</f>
        <v>97</v>
      </c>
      <c r="C994" s="25" t="s">
        <v>460</v>
      </c>
      <c r="D994" s="32">
        <f t="shared" si="438"/>
        <v>2407235.63</v>
      </c>
      <c r="E994" s="32">
        <v>0</v>
      </c>
      <c r="F994" s="32">
        <v>0</v>
      </c>
      <c r="G994" s="32">
        <v>0</v>
      </c>
      <c r="H994" s="32">
        <v>0</v>
      </c>
      <c r="I994" s="32">
        <v>0</v>
      </c>
      <c r="J994" s="32">
        <v>0</v>
      </c>
      <c r="K994" s="34">
        <v>0</v>
      </c>
      <c r="L994" s="32">
        <v>0</v>
      </c>
      <c r="M994" s="32">
        <v>530</v>
      </c>
      <c r="N994" s="32">
        <v>2371660.7199999997</v>
      </c>
      <c r="O994" s="32">
        <v>0</v>
      </c>
      <c r="P994" s="32">
        <v>0</v>
      </c>
      <c r="Q994" s="32">
        <v>0</v>
      </c>
      <c r="R994" s="32">
        <v>0</v>
      </c>
      <c r="S994" s="32">
        <v>0</v>
      </c>
      <c r="T994" s="32">
        <v>0</v>
      </c>
      <c r="U994" s="32">
        <v>0</v>
      </c>
      <c r="V994" s="32">
        <v>0</v>
      </c>
      <c r="W994" s="32">
        <v>0</v>
      </c>
      <c r="X994" s="32">
        <v>0</v>
      </c>
      <c r="Y994" s="32">
        <v>0</v>
      </c>
      <c r="Z994" s="32">
        <v>0</v>
      </c>
      <c r="AA994" s="32">
        <v>0</v>
      </c>
      <c r="AB994" s="32">
        <v>0</v>
      </c>
      <c r="AC994" s="32">
        <f t="shared" si="445"/>
        <v>35574.910000000003</v>
      </c>
      <c r="AD994" s="32">
        <v>0</v>
      </c>
      <c r="AE994" s="32">
        <v>0</v>
      </c>
      <c r="AF994" s="35" t="s">
        <v>275</v>
      </c>
      <c r="AG994" s="35">
        <v>2022</v>
      </c>
      <c r="AH994" s="36">
        <v>2022</v>
      </c>
      <c r="AT994" s="21" t="e">
        <f t="shared" si="442"/>
        <v>#N/A</v>
      </c>
    </row>
    <row r="995" spans="1:46" ht="61.5" x14ac:dyDescent="0.85">
      <c r="A995" s="21">
        <v>1</v>
      </c>
      <c r="B995" s="70">
        <f>SUBTOTAL(103,$A$896:A995)</f>
        <v>98</v>
      </c>
      <c r="C995" s="25" t="s">
        <v>461</v>
      </c>
      <c r="D995" s="32">
        <f t="shared" si="438"/>
        <v>1790689.27</v>
      </c>
      <c r="E995" s="32">
        <v>0</v>
      </c>
      <c r="F995" s="32">
        <v>0</v>
      </c>
      <c r="G995" s="32">
        <v>0</v>
      </c>
      <c r="H995" s="32">
        <v>0</v>
      </c>
      <c r="I995" s="32">
        <v>0</v>
      </c>
      <c r="J995" s="32">
        <v>0</v>
      </c>
      <c r="K995" s="34">
        <v>0</v>
      </c>
      <c r="L995" s="32">
        <v>0</v>
      </c>
      <c r="M995" s="32">
        <v>396</v>
      </c>
      <c r="N995" s="32">
        <v>1764225.8800000001</v>
      </c>
      <c r="O995" s="32">
        <v>0</v>
      </c>
      <c r="P995" s="32">
        <v>0</v>
      </c>
      <c r="Q995" s="32">
        <v>0</v>
      </c>
      <c r="R995" s="32">
        <v>0</v>
      </c>
      <c r="S995" s="32">
        <v>0</v>
      </c>
      <c r="T995" s="32">
        <v>0</v>
      </c>
      <c r="U995" s="32">
        <v>0</v>
      </c>
      <c r="V995" s="32">
        <v>0</v>
      </c>
      <c r="W995" s="32">
        <v>0</v>
      </c>
      <c r="X995" s="32">
        <v>0</v>
      </c>
      <c r="Y995" s="32">
        <v>0</v>
      </c>
      <c r="Z995" s="32">
        <v>0</v>
      </c>
      <c r="AA995" s="32">
        <v>0</v>
      </c>
      <c r="AB995" s="32">
        <v>0</v>
      </c>
      <c r="AC995" s="32">
        <f t="shared" si="445"/>
        <v>26463.39</v>
      </c>
      <c r="AD995" s="32">
        <v>0</v>
      </c>
      <c r="AE995" s="32">
        <v>0</v>
      </c>
      <c r="AF995" s="35" t="s">
        <v>275</v>
      </c>
      <c r="AG995" s="35">
        <v>2022</v>
      </c>
      <c r="AH995" s="36">
        <v>2022</v>
      </c>
      <c r="AT995" s="21" t="e">
        <f t="shared" si="442"/>
        <v>#N/A</v>
      </c>
    </row>
    <row r="996" spans="1:46" ht="61.5" x14ac:dyDescent="0.85">
      <c r="A996" s="21">
        <v>1</v>
      </c>
      <c r="B996" s="70">
        <f>SUBTOTAL(103,$A$896:A996)</f>
        <v>99</v>
      </c>
      <c r="C996" s="25" t="s">
        <v>866</v>
      </c>
      <c r="D996" s="32">
        <f t="shared" si="438"/>
        <v>6300000</v>
      </c>
      <c r="E996" s="32">
        <v>0</v>
      </c>
      <c r="F996" s="32">
        <v>0</v>
      </c>
      <c r="G996" s="32">
        <v>0</v>
      </c>
      <c r="H996" s="32">
        <v>0</v>
      </c>
      <c r="I996" s="32">
        <v>0</v>
      </c>
      <c r="J996" s="32">
        <v>0</v>
      </c>
      <c r="K996" s="34">
        <v>3</v>
      </c>
      <c r="L996" s="32">
        <v>6300000</v>
      </c>
      <c r="M996" s="32">
        <v>0</v>
      </c>
      <c r="N996" s="32">
        <v>0</v>
      </c>
      <c r="O996" s="32">
        <v>0</v>
      </c>
      <c r="P996" s="32">
        <v>0</v>
      </c>
      <c r="Q996" s="32">
        <v>0</v>
      </c>
      <c r="R996" s="32">
        <v>0</v>
      </c>
      <c r="S996" s="32">
        <v>0</v>
      </c>
      <c r="T996" s="32">
        <v>0</v>
      </c>
      <c r="U996" s="32">
        <v>0</v>
      </c>
      <c r="V996" s="32">
        <v>0</v>
      </c>
      <c r="W996" s="32">
        <v>0</v>
      </c>
      <c r="X996" s="32">
        <v>0</v>
      </c>
      <c r="Y996" s="32">
        <v>0</v>
      </c>
      <c r="Z996" s="32">
        <v>0</v>
      </c>
      <c r="AA996" s="32">
        <v>0</v>
      </c>
      <c r="AB996" s="32">
        <v>0</v>
      </c>
      <c r="AC996" s="32">
        <v>0</v>
      </c>
      <c r="AD996" s="32">
        <v>0</v>
      </c>
      <c r="AE996" s="32">
        <v>0</v>
      </c>
      <c r="AF996" s="35" t="s">
        <v>275</v>
      </c>
      <c r="AG996" s="35">
        <v>2022</v>
      </c>
      <c r="AH996" s="36" t="s">
        <v>275</v>
      </c>
      <c r="AT996" s="21" t="e">
        <f t="shared" si="442"/>
        <v>#N/A</v>
      </c>
    </row>
    <row r="997" spans="1:46" ht="61.5" x14ac:dyDescent="0.85">
      <c r="B997" s="25" t="s">
        <v>832</v>
      </c>
      <c r="C997" s="25"/>
      <c r="D997" s="32">
        <f>SUM(D998:D1008)</f>
        <v>44137673.11999999</v>
      </c>
      <c r="E997" s="32">
        <f t="shared" ref="E997:AE997" si="446">SUM(E998:E1008)</f>
        <v>426460.19</v>
      </c>
      <c r="F997" s="32">
        <f t="shared" si="446"/>
        <v>0</v>
      </c>
      <c r="G997" s="32">
        <f t="shared" si="446"/>
        <v>3440171.67</v>
      </c>
      <c r="H997" s="32">
        <f t="shared" si="446"/>
        <v>666279.31999999995</v>
      </c>
      <c r="I997" s="32">
        <f t="shared" si="446"/>
        <v>872243.83</v>
      </c>
      <c r="J997" s="32">
        <f t="shared" si="446"/>
        <v>0</v>
      </c>
      <c r="K997" s="34">
        <f t="shared" si="446"/>
        <v>4</v>
      </c>
      <c r="L997" s="32">
        <f t="shared" si="446"/>
        <v>8452796.0600000005</v>
      </c>
      <c r="M997" s="32">
        <f t="shared" si="446"/>
        <v>5184</v>
      </c>
      <c r="N997" s="32">
        <f t="shared" si="446"/>
        <v>25809978.450000003</v>
      </c>
      <c r="O997" s="32">
        <f t="shared" si="446"/>
        <v>0</v>
      </c>
      <c r="P997" s="32">
        <f t="shared" si="446"/>
        <v>0</v>
      </c>
      <c r="Q997" s="32">
        <f t="shared" si="446"/>
        <v>626</v>
      </c>
      <c r="R997" s="32">
        <f t="shared" si="446"/>
        <v>3942380.87</v>
      </c>
      <c r="S997" s="32">
        <f t="shared" si="446"/>
        <v>0</v>
      </c>
      <c r="T997" s="32">
        <f t="shared" si="446"/>
        <v>0</v>
      </c>
      <c r="U997" s="32">
        <f t="shared" si="446"/>
        <v>0</v>
      </c>
      <c r="V997" s="32">
        <f t="shared" si="446"/>
        <v>0</v>
      </c>
      <c r="W997" s="32">
        <f t="shared" si="446"/>
        <v>0</v>
      </c>
      <c r="X997" s="32">
        <f t="shared" si="446"/>
        <v>0</v>
      </c>
      <c r="Y997" s="32">
        <f t="shared" si="446"/>
        <v>0</v>
      </c>
      <c r="Z997" s="32">
        <f t="shared" si="446"/>
        <v>0</v>
      </c>
      <c r="AA997" s="32">
        <f t="shared" si="446"/>
        <v>0</v>
      </c>
      <c r="AB997" s="32">
        <f t="shared" si="446"/>
        <v>0</v>
      </c>
      <c r="AC997" s="32">
        <f t="shared" si="446"/>
        <v>527362.73</v>
      </c>
      <c r="AD997" s="32">
        <f t="shared" si="446"/>
        <v>0</v>
      </c>
      <c r="AE997" s="32">
        <f t="shared" si="446"/>
        <v>0</v>
      </c>
      <c r="AF997" s="35" t="s">
        <v>801</v>
      </c>
      <c r="AG997" s="35" t="s">
        <v>801</v>
      </c>
      <c r="AH997" s="36" t="s">
        <v>801</v>
      </c>
      <c r="AT997" s="21" t="e">
        <f t="shared" si="442"/>
        <v>#N/A</v>
      </c>
    </row>
    <row r="998" spans="1:46" ht="61.5" x14ac:dyDescent="0.85">
      <c r="A998" s="21">
        <v>1</v>
      </c>
      <c r="B998" s="70">
        <f>SUBTOTAL(103,$A$896:A998)</f>
        <v>100</v>
      </c>
      <c r="C998" s="25" t="s">
        <v>833</v>
      </c>
      <c r="D998" s="32">
        <f t="shared" ref="D998:D1008" si="447">E998+F998+G998+H998+I998+J998+L998+N998+P998+R998+T998+U998+V998+W998+X998+Y998+Z998+AA998+AB998+AC998+AD998+AE998</f>
        <v>2532230.7999999998</v>
      </c>
      <c r="E998" s="32">
        <v>0</v>
      </c>
      <c r="F998" s="32">
        <v>0</v>
      </c>
      <c r="G998" s="32">
        <v>0</v>
      </c>
      <c r="H998" s="32">
        <v>0</v>
      </c>
      <c r="I998" s="32">
        <v>0</v>
      </c>
      <c r="J998" s="32">
        <v>0</v>
      </c>
      <c r="K998" s="34">
        <v>0</v>
      </c>
      <c r="L998" s="32">
        <v>0</v>
      </c>
      <c r="M998" s="32">
        <v>506</v>
      </c>
      <c r="N998" s="32">
        <v>2494808.67</v>
      </c>
      <c r="O998" s="32">
        <v>0</v>
      </c>
      <c r="P998" s="32">
        <v>0</v>
      </c>
      <c r="Q998" s="32">
        <v>0</v>
      </c>
      <c r="R998" s="32">
        <v>0</v>
      </c>
      <c r="S998" s="32">
        <v>0</v>
      </c>
      <c r="T998" s="32">
        <v>0</v>
      </c>
      <c r="U998" s="32">
        <v>0</v>
      </c>
      <c r="V998" s="32">
        <v>0</v>
      </c>
      <c r="W998" s="32">
        <v>0</v>
      </c>
      <c r="X998" s="32">
        <v>0</v>
      </c>
      <c r="Y998" s="32">
        <v>0</v>
      </c>
      <c r="Z998" s="32">
        <v>0</v>
      </c>
      <c r="AA998" s="32">
        <v>0</v>
      </c>
      <c r="AB998" s="32">
        <v>0</v>
      </c>
      <c r="AC998" s="32">
        <f t="shared" ref="AC998:AC1000" si="448">ROUND(N998*1.5%,2)</f>
        <v>37422.129999999997</v>
      </c>
      <c r="AD998" s="32">
        <v>0</v>
      </c>
      <c r="AE998" s="32">
        <v>0</v>
      </c>
      <c r="AF998" s="35" t="s">
        <v>275</v>
      </c>
      <c r="AG998" s="35">
        <v>2022</v>
      </c>
      <c r="AH998" s="36">
        <v>2022</v>
      </c>
      <c r="AT998" s="21" t="e">
        <f t="shared" si="442"/>
        <v>#N/A</v>
      </c>
    </row>
    <row r="999" spans="1:46" ht="61.5" x14ac:dyDescent="0.85">
      <c r="A999" s="21">
        <v>1</v>
      </c>
      <c r="B999" s="70">
        <f>SUBTOTAL(103,$A$896:A999)</f>
        <v>101</v>
      </c>
      <c r="C999" s="25" t="s">
        <v>834</v>
      </c>
      <c r="D999" s="32">
        <f t="shared" si="447"/>
        <v>2386020.4</v>
      </c>
      <c r="E999" s="32">
        <v>0</v>
      </c>
      <c r="F999" s="32">
        <v>0</v>
      </c>
      <c r="G999" s="32">
        <v>0</v>
      </c>
      <c r="H999" s="32">
        <v>0</v>
      </c>
      <c r="I999" s="32">
        <v>0</v>
      </c>
      <c r="J999" s="32">
        <v>0</v>
      </c>
      <c r="K999" s="34">
        <v>0</v>
      </c>
      <c r="L999" s="32">
        <v>0</v>
      </c>
      <c r="M999" s="32">
        <v>478</v>
      </c>
      <c r="N999" s="32">
        <v>2350759.0099999998</v>
      </c>
      <c r="O999" s="32">
        <v>0</v>
      </c>
      <c r="P999" s="32">
        <v>0</v>
      </c>
      <c r="Q999" s="32">
        <v>0</v>
      </c>
      <c r="R999" s="32">
        <v>0</v>
      </c>
      <c r="S999" s="32">
        <v>0</v>
      </c>
      <c r="T999" s="32">
        <v>0</v>
      </c>
      <c r="U999" s="32">
        <v>0</v>
      </c>
      <c r="V999" s="32">
        <v>0</v>
      </c>
      <c r="W999" s="32">
        <v>0</v>
      </c>
      <c r="X999" s="32">
        <v>0</v>
      </c>
      <c r="Y999" s="32">
        <v>0</v>
      </c>
      <c r="Z999" s="32">
        <v>0</v>
      </c>
      <c r="AA999" s="32">
        <v>0</v>
      </c>
      <c r="AB999" s="32">
        <v>0</v>
      </c>
      <c r="AC999" s="32">
        <f t="shared" si="448"/>
        <v>35261.39</v>
      </c>
      <c r="AD999" s="32">
        <v>0</v>
      </c>
      <c r="AE999" s="32">
        <v>0</v>
      </c>
      <c r="AF999" s="35" t="s">
        <v>275</v>
      </c>
      <c r="AG999" s="35">
        <v>2022</v>
      </c>
      <c r="AH999" s="36">
        <v>2022</v>
      </c>
      <c r="AT999" s="21" t="e">
        <f t="shared" si="442"/>
        <v>#N/A</v>
      </c>
    </row>
    <row r="1000" spans="1:46" ht="61.5" x14ac:dyDescent="0.85">
      <c r="A1000" s="21">
        <v>1</v>
      </c>
      <c r="B1000" s="70">
        <f>SUBTOTAL(103,$A$896:A1000)</f>
        <v>102</v>
      </c>
      <c r="C1000" s="25" t="s">
        <v>1154</v>
      </c>
      <c r="D1000" s="32">
        <f t="shared" si="447"/>
        <v>3009600</v>
      </c>
      <c r="E1000" s="32">
        <v>0</v>
      </c>
      <c r="F1000" s="32">
        <v>0</v>
      </c>
      <c r="G1000" s="32">
        <v>0</v>
      </c>
      <c r="H1000" s="32">
        <v>0</v>
      </c>
      <c r="I1000" s="32">
        <v>0</v>
      </c>
      <c r="J1000" s="32">
        <v>0</v>
      </c>
      <c r="K1000" s="34">
        <v>0</v>
      </c>
      <c r="L1000" s="32">
        <v>0</v>
      </c>
      <c r="M1000" s="32">
        <v>627</v>
      </c>
      <c r="N1000" s="32">
        <v>2965123.15</v>
      </c>
      <c r="O1000" s="32">
        <v>0</v>
      </c>
      <c r="P1000" s="32">
        <v>0</v>
      </c>
      <c r="Q1000" s="32">
        <v>0</v>
      </c>
      <c r="R1000" s="32">
        <v>0</v>
      </c>
      <c r="S1000" s="32">
        <v>0</v>
      </c>
      <c r="T1000" s="32">
        <v>0</v>
      </c>
      <c r="U1000" s="32">
        <v>0</v>
      </c>
      <c r="V1000" s="32">
        <v>0</v>
      </c>
      <c r="W1000" s="32">
        <v>0</v>
      </c>
      <c r="X1000" s="32">
        <v>0</v>
      </c>
      <c r="Y1000" s="32">
        <v>0</v>
      </c>
      <c r="Z1000" s="32">
        <v>0</v>
      </c>
      <c r="AA1000" s="32">
        <v>0</v>
      </c>
      <c r="AB1000" s="32">
        <v>0</v>
      </c>
      <c r="AC1000" s="32">
        <f t="shared" si="448"/>
        <v>44476.85</v>
      </c>
      <c r="AD1000" s="32">
        <v>0</v>
      </c>
      <c r="AE1000" s="32">
        <v>0</v>
      </c>
      <c r="AF1000" s="35" t="s">
        <v>275</v>
      </c>
      <c r="AG1000" s="35">
        <v>2022</v>
      </c>
      <c r="AH1000" s="36">
        <v>2022</v>
      </c>
      <c r="AT1000" s="21" t="e">
        <f t="shared" si="442"/>
        <v>#N/A</v>
      </c>
    </row>
    <row r="1001" spans="1:46" ht="61.5" x14ac:dyDescent="0.85">
      <c r="A1001" s="21">
        <v>1</v>
      </c>
      <c r="B1001" s="70">
        <f>SUBTOTAL(103,$A$896:A1001)</f>
        <v>103</v>
      </c>
      <c r="C1001" s="25" t="s">
        <v>836</v>
      </c>
      <c r="D1001" s="32">
        <f t="shared" si="447"/>
        <v>8452796.0600000005</v>
      </c>
      <c r="E1001" s="32">
        <v>0</v>
      </c>
      <c r="F1001" s="32">
        <v>0</v>
      </c>
      <c r="G1001" s="32">
        <v>0</v>
      </c>
      <c r="H1001" s="32">
        <v>0</v>
      </c>
      <c r="I1001" s="32">
        <v>0</v>
      </c>
      <c r="J1001" s="32">
        <v>0</v>
      </c>
      <c r="K1001" s="34">
        <v>4</v>
      </c>
      <c r="L1001" s="32">
        <v>8452796.0600000005</v>
      </c>
      <c r="M1001" s="32">
        <v>0</v>
      </c>
      <c r="N1001" s="32">
        <v>0</v>
      </c>
      <c r="O1001" s="32">
        <v>0</v>
      </c>
      <c r="P1001" s="32">
        <v>0</v>
      </c>
      <c r="Q1001" s="32">
        <v>0</v>
      </c>
      <c r="R1001" s="32">
        <v>0</v>
      </c>
      <c r="S1001" s="32">
        <v>0</v>
      </c>
      <c r="T1001" s="32">
        <v>0</v>
      </c>
      <c r="U1001" s="32">
        <v>0</v>
      </c>
      <c r="V1001" s="32">
        <v>0</v>
      </c>
      <c r="W1001" s="32">
        <v>0</v>
      </c>
      <c r="X1001" s="32">
        <v>0</v>
      </c>
      <c r="Y1001" s="32">
        <v>0</v>
      </c>
      <c r="Z1001" s="32">
        <v>0</v>
      </c>
      <c r="AA1001" s="32">
        <v>0</v>
      </c>
      <c r="AB1001" s="32">
        <v>0</v>
      </c>
      <c r="AC1001" s="32">
        <v>0</v>
      </c>
      <c r="AD1001" s="32">
        <v>0</v>
      </c>
      <c r="AE1001" s="32">
        <v>0</v>
      </c>
      <c r="AF1001" s="35" t="s">
        <v>275</v>
      </c>
      <c r="AG1001" s="35">
        <v>2022</v>
      </c>
      <c r="AH1001" s="36" t="s">
        <v>275</v>
      </c>
      <c r="AT1001" s="21" t="e">
        <f t="shared" si="442"/>
        <v>#N/A</v>
      </c>
    </row>
    <row r="1002" spans="1:46" ht="61.5" x14ac:dyDescent="0.85">
      <c r="A1002" s="21">
        <v>1</v>
      </c>
      <c r="B1002" s="70">
        <f>SUBTOTAL(103,$A$896:A1002)</f>
        <v>104</v>
      </c>
      <c r="C1002" s="25" t="s">
        <v>838</v>
      </c>
      <c r="D1002" s="32">
        <f t="shared" si="447"/>
        <v>6961648</v>
      </c>
      <c r="E1002" s="32">
        <v>0</v>
      </c>
      <c r="F1002" s="32">
        <v>0</v>
      </c>
      <c r="G1002" s="32">
        <v>0</v>
      </c>
      <c r="H1002" s="32">
        <v>0</v>
      </c>
      <c r="I1002" s="32">
        <v>0</v>
      </c>
      <c r="J1002" s="32">
        <v>0</v>
      </c>
      <c r="K1002" s="34">
        <v>0</v>
      </c>
      <c r="L1002" s="32">
        <v>0</v>
      </c>
      <c r="M1002" s="32">
        <v>1360</v>
      </c>
      <c r="N1002" s="32">
        <v>6858766.5</v>
      </c>
      <c r="O1002" s="32">
        <v>0</v>
      </c>
      <c r="P1002" s="32">
        <v>0</v>
      </c>
      <c r="Q1002" s="32">
        <v>0</v>
      </c>
      <c r="R1002" s="32">
        <v>0</v>
      </c>
      <c r="S1002" s="32">
        <v>0</v>
      </c>
      <c r="T1002" s="32">
        <v>0</v>
      </c>
      <c r="U1002" s="32">
        <v>0</v>
      </c>
      <c r="V1002" s="32">
        <v>0</v>
      </c>
      <c r="W1002" s="32">
        <v>0</v>
      </c>
      <c r="X1002" s="32">
        <v>0</v>
      </c>
      <c r="Y1002" s="32">
        <v>0</v>
      </c>
      <c r="Z1002" s="32">
        <v>0</v>
      </c>
      <c r="AA1002" s="32">
        <v>0</v>
      </c>
      <c r="AB1002" s="32">
        <v>0</v>
      </c>
      <c r="AC1002" s="32">
        <f t="shared" ref="AC1002:AC1005" si="449">ROUND(N1002*1.5%,2)</f>
        <v>102881.5</v>
      </c>
      <c r="AD1002" s="32">
        <v>0</v>
      </c>
      <c r="AE1002" s="32">
        <v>0</v>
      </c>
      <c r="AF1002" s="35" t="s">
        <v>275</v>
      </c>
      <c r="AG1002" s="35">
        <v>2022</v>
      </c>
      <c r="AH1002" s="36">
        <v>2022</v>
      </c>
      <c r="AT1002" s="21">
        <f t="shared" si="442"/>
        <v>1</v>
      </c>
    </row>
    <row r="1003" spans="1:46" ht="61.5" x14ac:dyDescent="0.85">
      <c r="A1003" s="21">
        <v>1</v>
      </c>
      <c r="B1003" s="70">
        <f>SUBTOTAL(103,$A$896:A1003)</f>
        <v>105</v>
      </c>
      <c r="C1003" s="25" t="s">
        <v>839</v>
      </c>
      <c r="D1003" s="32">
        <f t="shared" si="447"/>
        <v>3278948.1999999997</v>
      </c>
      <c r="E1003" s="32">
        <v>0</v>
      </c>
      <c r="F1003" s="32">
        <v>0</v>
      </c>
      <c r="G1003" s="32">
        <v>0</v>
      </c>
      <c r="H1003" s="32">
        <v>0</v>
      </c>
      <c r="I1003" s="32">
        <v>0</v>
      </c>
      <c r="J1003" s="32">
        <v>0</v>
      </c>
      <c r="K1003" s="34">
        <v>0</v>
      </c>
      <c r="L1003" s="32">
        <v>0</v>
      </c>
      <c r="M1003" s="32">
        <v>649</v>
      </c>
      <c r="N1003" s="32">
        <v>3230490.84</v>
      </c>
      <c r="O1003" s="32">
        <v>0</v>
      </c>
      <c r="P1003" s="32">
        <v>0</v>
      </c>
      <c r="Q1003" s="32">
        <v>0</v>
      </c>
      <c r="R1003" s="32">
        <v>0</v>
      </c>
      <c r="S1003" s="32">
        <v>0</v>
      </c>
      <c r="T1003" s="32">
        <v>0</v>
      </c>
      <c r="U1003" s="32">
        <v>0</v>
      </c>
      <c r="V1003" s="32">
        <v>0</v>
      </c>
      <c r="W1003" s="32">
        <v>0</v>
      </c>
      <c r="X1003" s="32">
        <v>0</v>
      </c>
      <c r="Y1003" s="32">
        <v>0</v>
      </c>
      <c r="Z1003" s="32">
        <v>0</v>
      </c>
      <c r="AA1003" s="32">
        <v>0</v>
      </c>
      <c r="AB1003" s="32">
        <v>0</v>
      </c>
      <c r="AC1003" s="32">
        <f t="shared" si="449"/>
        <v>48457.36</v>
      </c>
      <c r="AD1003" s="32">
        <v>0</v>
      </c>
      <c r="AE1003" s="32">
        <v>0</v>
      </c>
      <c r="AF1003" s="35" t="s">
        <v>275</v>
      </c>
      <c r="AG1003" s="35">
        <v>2022</v>
      </c>
      <c r="AH1003" s="36">
        <v>2022</v>
      </c>
      <c r="AT1003" s="21" t="e">
        <f t="shared" si="442"/>
        <v>#N/A</v>
      </c>
    </row>
    <row r="1004" spans="1:46" ht="61.5" x14ac:dyDescent="0.85">
      <c r="A1004" s="21">
        <v>1</v>
      </c>
      <c r="B1004" s="70">
        <f>SUBTOTAL(103,$A$896:A1004)</f>
        <v>106</v>
      </c>
      <c r="C1004" s="25" t="s">
        <v>837</v>
      </c>
      <c r="D1004" s="32">
        <f t="shared" si="447"/>
        <v>3315500.8</v>
      </c>
      <c r="E1004" s="32">
        <v>0</v>
      </c>
      <c r="F1004" s="32">
        <v>0</v>
      </c>
      <c r="G1004" s="32">
        <v>0</v>
      </c>
      <c r="H1004" s="32">
        <v>0</v>
      </c>
      <c r="I1004" s="32">
        <v>0</v>
      </c>
      <c r="J1004" s="32">
        <v>0</v>
      </c>
      <c r="K1004" s="34">
        <v>0</v>
      </c>
      <c r="L1004" s="32">
        <v>0</v>
      </c>
      <c r="M1004" s="32">
        <v>656</v>
      </c>
      <c r="N1004" s="32">
        <v>3266503.25</v>
      </c>
      <c r="O1004" s="32">
        <v>0</v>
      </c>
      <c r="P1004" s="32">
        <v>0</v>
      </c>
      <c r="Q1004" s="32">
        <v>0</v>
      </c>
      <c r="R1004" s="32">
        <v>0</v>
      </c>
      <c r="S1004" s="32">
        <v>0</v>
      </c>
      <c r="T1004" s="32">
        <v>0</v>
      </c>
      <c r="U1004" s="32">
        <v>0</v>
      </c>
      <c r="V1004" s="32">
        <v>0</v>
      </c>
      <c r="W1004" s="32">
        <v>0</v>
      </c>
      <c r="X1004" s="32">
        <v>0</v>
      </c>
      <c r="Y1004" s="32">
        <v>0</v>
      </c>
      <c r="Z1004" s="32">
        <v>0</v>
      </c>
      <c r="AA1004" s="32">
        <v>0</v>
      </c>
      <c r="AB1004" s="32">
        <v>0</v>
      </c>
      <c r="AC1004" s="32">
        <f t="shared" si="449"/>
        <v>48997.55</v>
      </c>
      <c r="AD1004" s="32">
        <v>0</v>
      </c>
      <c r="AE1004" s="32">
        <v>0</v>
      </c>
      <c r="AF1004" s="35" t="s">
        <v>275</v>
      </c>
      <c r="AG1004" s="35">
        <v>2022</v>
      </c>
      <c r="AH1004" s="36">
        <v>2022</v>
      </c>
      <c r="AT1004" s="21">
        <f t="shared" si="442"/>
        <v>1</v>
      </c>
    </row>
    <row r="1005" spans="1:46" ht="61.5" x14ac:dyDescent="0.85">
      <c r="A1005" s="21">
        <v>1</v>
      </c>
      <c r="B1005" s="70">
        <f>SUBTOTAL(103,$A$896:A1005)</f>
        <v>107</v>
      </c>
      <c r="C1005" s="25" t="s">
        <v>840</v>
      </c>
      <c r="D1005" s="32">
        <f t="shared" si="447"/>
        <v>3336388</v>
      </c>
      <c r="E1005" s="32">
        <v>0</v>
      </c>
      <c r="F1005" s="32">
        <v>0</v>
      </c>
      <c r="G1005" s="32">
        <v>0</v>
      </c>
      <c r="H1005" s="32">
        <v>0</v>
      </c>
      <c r="I1005" s="32">
        <v>0</v>
      </c>
      <c r="J1005" s="32">
        <v>0</v>
      </c>
      <c r="K1005" s="34">
        <v>0</v>
      </c>
      <c r="L1005" s="32">
        <v>0</v>
      </c>
      <c r="M1005" s="32">
        <v>660</v>
      </c>
      <c r="N1005" s="32">
        <v>3287081.77</v>
      </c>
      <c r="O1005" s="32">
        <v>0</v>
      </c>
      <c r="P1005" s="32">
        <v>0</v>
      </c>
      <c r="Q1005" s="32">
        <v>0</v>
      </c>
      <c r="R1005" s="32">
        <v>0</v>
      </c>
      <c r="S1005" s="32">
        <v>0</v>
      </c>
      <c r="T1005" s="32">
        <v>0</v>
      </c>
      <c r="U1005" s="32">
        <v>0</v>
      </c>
      <c r="V1005" s="32">
        <v>0</v>
      </c>
      <c r="W1005" s="32">
        <v>0</v>
      </c>
      <c r="X1005" s="32">
        <v>0</v>
      </c>
      <c r="Y1005" s="32">
        <v>0</v>
      </c>
      <c r="Z1005" s="32">
        <v>0</v>
      </c>
      <c r="AA1005" s="32">
        <v>0</v>
      </c>
      <c r="AB1005" s="32">
        <v>0</v>
      </c>
      <c r="AC1005" s="32">
        <f t="shared" si="449"/>
        <v>49306.23</v>
      </c>
      <c r="AD1005" s="32">
        <v>0</v>
      </c>
      <c r="AE1005" s="32">
        <v>0</v>
      </c>
      <c r="AF1005" s="35" t="s">
        <v>275</v>
      </c>
      <c r="AG1005" s="35">
        <v>2022</v>
      </c>
      <c r="AH1005" s="36">
        <v>2022</v>
      </c>
      <c r="AT1005" s="21" t="e">
        <f t="shared" si="442"/>
        <v>#N/A</v>
      </c>
    </row>
    <row r="1006" spans="1:46" ht="61.5" x14ac:dyDescent="0.85">
      <c r="A1006" s="21">
        <v>1</v>
      </c>
      <c r="B1006" s="70">
        <f>SUBTOTAL(103,$A$896:A1006)</f>
        <v>108</v>
      </c>
      <c r="C1006" s="25" t="s">
        <v>841</v>
      </c>
      <c r="D1006" s="32">
        <f t="shared" si="447"/>
        <v>4001516.58</v>
      </c>
      <c r="E1006" s="32">
        <v>0</v>
      </c>
      <c r="F1006" s="32">
        <v>0</v>
      </c>
      <c r="G1006" s="32">
        <v>0</v>
      </c>
      <c r="H1006" s="32">
        <v>0</v>
      </c>
      <c r="I1006" s="32">
        <v>0</v>
      </c>
      <c r="J1006" s="32">
        <v>0</v>
      </c>
      <c r="K1006" s="34">
        <v>0</v>
      </c>
      <c r="L1006" s="32">
        <v>0</v>
      </c>
      <c r="M1006" s="32">
        <v>0</v>
      </c>
      <c r="N1006" s="32">
        <v>0</v>
      </c>
      <c r="O1006" s="32">
        <v>0</v>
      </c>
      <c r="P1006" s="32">
        <v>0</v>
      </c>
      <c r="Q1006" s="32">
        <v>626</v>
      </c>
      <c r="R1006" s="32">
        <f>4052571.21-110190.34</f>
        <v>3942380.87</v>
      </c>
      <c r="S1006" s="32">
        <v>0</v>
      </c>
      <c r="T1006" s="32">
        <v>0</v>
      </c>
      <c r="U1006" s="32">
        <v>0</v>
      </c>
      <c r="V1006" s="32">
        <v>0</v>
      </c>
      <c r="W1006" s="32">
        <v>0</v>
      </c>
      <c r="X1006" s="32">
        <v>0</v>
      </c>
      <c r="Y1006" s="32">
        <v>0</v>
      </c>
      <c r="Z1006" s="32">
        <v>0</v>
      </c>
      <c r="AA1006" s="32">
        <v>0</v>
      </c>
      <c r="AB1006" s="32">
        <v>0</v>
      </c>
      <c r="AC1006" s="32">
        <f t="shared" ref="AC1006" si="450">ROUND(R1006*1.5%,2)</f>
        <v>59135.71</v>
      </c>
      <c r="AD1006" s="32">
        <v>0</v>
      </c>
      <c r="AE1006" s="32">
        <v>0</v>
      </c>
      <c r="AF1006" s="35" t="s">
        <v>275</v>
      </c>
      <c r="AG1006" s="35">
        <v>2022</v>
      </c>
      <c r="AH1006" s="36">
        <v>2022</v>
      </c>
      <c r="AT1006" s="21" t="e">
        <f t="shared" si="442"/>
        <v>#N/A</v>
      </c>
    </row>
    <row r="1007" spans="1:46" ht="61.5" x14ac:dyDescent="0.85">
      <c r="A1007" s="21">
        <v>1</v>
      </c>
      <c r="B1007" s="70">
        <f>SUBTOTAL(103,$A$896:A1007)</f>
        <v>109</v>
      </c>
      <c r="C1007" s="25" t="s">
        <v>842</v>
      </c>
      <c r="D1007" s="32">
        <f t="shared" si="447"/>
        <v>5486232.3399999999</v>
      </c>
      <c r="E1007" s="32">
        <v>426460.19</v>
      </c>
      <c r="F1007" s="32">
        <v>0</v>
      </c>
      <c r="G1007" s="32">
        <v>3440171.67</v>
      </c>
      <c r="H1007" s="32">
        <v>666279.31999999995</v>
      </c>
      <c r="I1007" s="32">
        <v>872243.83</v>
      </c>
      <c r="J1007" s="32">
        <v>0</v>
      </c>
      <c r="K1007" s="34">
        <v>0</v>
      </c>
      <c r="L1007" s="32">
        <v>0</v>
      </c>
      <c r="M1007" s="32">
        <v>0</v>
      </c>
      <c r="N1007" s="32">
        <v>0</v>
      </c>
      <c r="O1007" s="32">
        <v>0</v>
      </c>
      <c r="P1007" s="32">
        <v>0</v>
      </c>
      <c r="Q1007" s="32">
        <v>0</v>
      </c>
      <c r="R1007" s="32">
        <v>0</v>
      </c>
      <c r="S1007" s="32">
        <v>0</v>
      </c>
      <c r="T1007" s="32">
        <v>0</v>
      </c>
      <c r="U1007" s="32">
        <v>0</v>
      </c>
      <c r="V1007" s="32">
        <v>0</v>
      </c>
      <c r="W1007" s="32">
        <v>0</v>
      </c>
      <c r="X1007" s="32">
        <v>0</v>
      </c>
      <c r="Y1007" s="32">
        <v>0</v>
      </c>
      <c r="Z1007" s="32">
        <v>0</v>
      </c>
      <c r="AA1007" s="32">
        <v>0</v>
      </c>
      <c r="AB1007" s="32">
        <v>0</v>
      </c>
      <c r="AC1007" s="32">
        <f t="shared" ref="AC1007" si="451">ROUND((E1007+F1007+G1007+H1007+I1007+J1007)*1.5%,2)</f>
        <v>81077.33</v>
      </c>
      <c r="AD1007" s="32">
        <v>0</v>
      </c>
      <c r="AE1007" s="32">
        <v>0</v>
      </c>
      <c r="AF1007" s="35" t="s">
        <v>275</v>
      </c>
      <c r="AG1007" s="35">
        <v>2022</v>
      </c>
      <c r="AH1007" s="36">
        <v>2022</v>
      </c>
      <c r="AT1007" s="21" t="e">
        <f t="shared" si="442"/>
        <v>#N/A</v>
      </c>
    </row>
    <row r="1008" spans="1:46" ht="61.5" x14ac:dyDescent="0.85">
      <c r="A1008" s="21">
        <v>1</v>
      </c>
      <c r="B1008" s="70">
        <f>SUBTOTAL(103,$A$896:A1008)</f>
        <v>110</v>
      </c>
      <c r="C1008" s="25" t="s">
        <v>865</v>
      </c>
      <c r="D1008" s="32">
        <f t="shared" si="447"/>
        <v>1376791.94</v>
      </c>
      <c r="E1008" s="32">
        <v>0</v>
      </c>
      <c r="F1008" s="32">
        <v>0</v>
      </c>
      <c r="G1008" s="32">
        <v>0</v>
      </c>
      <c r="H1008" s="32">
        <v>0</v>
      </c>
      <c r="I1008" s="32">
        <v>0</v>
      </c>
      <c r="J1008" s="32">
        <v>0</v>
      </c>
      <c r="K1008" s="34">
        <v>0</v>
      </c>
      <c r="L1008" s="32">
        <v>0</v>
      </c>
      <c r="M1008" s="32">
        <v>248</v>
      </c>
      <c r="N1008" s="32">
        <v>1356445.26</v>
      </c>
      <c r="O1008" s="32">
        <v>0</v>
      </c>
      <c r="P1008" s="32">
        <v>0</v>
      </c>
      <c r="Q1008" s="32">
        <v>0</v>
      </c>
      <c r="R1008" s="32">
        <v>0</v>
      </c>
      <c r="S1008" s="32">
        <v>0</v>
      </c>
      <c r="T1008" s="32">
        <v>0</v>
      </c>
      <c r="U1008" s="32">
        <v>0</v>
      </c>
      <c r="V1008" s="32">
        <v>0</v>
      </c>
      <c r="W1008" s="32">
        <v>0</v>
      </c>
      <c r="X1008" s="32">
        <v>0</v>
      </c>
      <c r="Y1008" s="32">
        <v>0</v>
      </c>
      <c r="Z1008" s="32">
        <v>0</v>
      </c>
      <c r="AA1008" s="32">
        <v>0</v>
      </c>
      <c r="AB1008" s="32">
        <v>0</v>
      </c>
      <c r="AC1008" s="32">
        <f>ROUND(N1008*1.5%,2)</f>
        <v>20346.68</v>
      </c>
      <c r="AD1008" s="32">
        <v>0</v>
      </c>
      <c r="AE1008" s="32">
        <v>0</v>
      </c>
      <c r="AF1008" s="35" t="s">
        <v>275</v>
      </c>
      <c r="AG1008" s="35">
        <v>2022</v>
      </c>
      <c r="AH1008" s="36">
        <v>2022</v>
      </c>
      <c r="AT1008" s="21">
        <f t="shared" si="442"/>
        <v>1</v>
      </c>
    </row>
    <row r="1009" spans="1:46" ht="61.5" x14ac:dyDescent="0.85">
      <c r="B1009" s="25" t="s">
        <v>808</v>
      </c>
      <c r="C1009" s="110"/>
      <c r="D1009" s="32">
        <f>SUM(D1010:D1011)</f>
        <v>21856214.649999999</v>
      </c>
      <c r="E1009" s="32">
        <f t="shared" ref="E1009:AE1009" si="452">SUM(E1010:E1011)</f>
        <v>564251.4</v>
      </c>
      <c r="F1009" s="32">
        <f t="shared" si="452"/>
        <v>1368969.5</v>
      </c>
      <c r="G1009" s="32">
        <f t="shared" si="452"/>
        <v>1773880.4000000001</v>
      </c>
      <c r="H1009" s="32">
        <f t="shared" si="452"/>
        <v>1005360.8</v>
      </c>
      <c r="I1009" s="32">
        <f t="shared" si="452"/>
        <v>2430648.5</v>
      </c>
      <c r="J1009" s="32">
        <f t="shared" si="452"/>
        <v>0</v>
      </c>
      <c r="K1009" s="34">
        <f t="shared" si="452"/>
        <v>0</v>
      </c>
      <c r="L1009" s="32">
        <f t="shared" si="452"/>
        <v>0</v>
      </c>
      <c r="M1009" s="32">
        <f t="shared" si="452"/>
        <v>0</v>
      </c>
      <c r="N1009" s="32">
        <f t="shared" si="452"/>
        <v>0</v>
      </c>
      <c r="O1009" s="32">
        <f t="shared" si="452"/>
        <v>0</v>
      </c>
      <c r="P1009" s="32">
        <f t="shared" si="452"/>
        <v>0</v>
      </c>
      <c r="Q1009" s="32">
        <f t="shared" si="452"/>
        <v>7025.9</v>
      </c>
      <c r="R1009" s="32">
        <f t="shared" si="452"/>
        <v>13897494.970000001</v>
      </c>
      <c r="S1009" s="32">
        <f t="shared" si="452"/>
        <v>0</v>
      </c>
      <c r="T1009" s="32">
        <f t="shared" si="452"/>
        <v>0</v>
      </c>
      <c r="U1009" s="32">
        <f t="shared" si="452"/>
        <v>0</v>
      </c>
      <c r="V1009" s="32">
        <f t="shared" si="452"/>
        <v>0</v>
      </c>
      <c r="W1009" s="32">
        <f t="shared" si="452"/>
        <v>0</v>
      </c>
      <c r="X1009" s="32">
        <f t="shared" si="452"/>
        <v>0</v>
      </c>
      <c r="Y1009" s="32">
        <f t="shared" si="452"/>
        <v>0</v>
      </c>
      <c r="Z1009" s="32">
        <f t="shared" si="452"/>
        <v>0</v>
      </c>
      <c r="AA1009" s="32">
        <f t="shared" si="452"/>
        <v>0</v>
      </c>
      <c r="AB1009" s="32">
        <f t="shared" si="452"/>
        <v>0</v>
      </c>
      <c r="AC1009" s="32">
        <f t="shared" si="452"/>
        <v>315609.08</v>
      </c>
      <c r="AD1009" s="32">
        <f t="shared" si="452"/>
        <v>500000</v>
      </c>
      <c r="AE1009" s="32">
        <f t="shared" si="452"/>
        <v>0</v>
      </c>
      <c r="AF1009" s="77" t="s">
        <v>801</v>
      </c>
      <c r="AG1009" s="77" t="s">
        <v>801</v>
      </c>
      <c r="AH1009" s="107" t="s">
        <v>801</v>
      </c>
      <c r="AT1009" s="21" t="e">
        <f t="shared" ref="AT1009:AT1022" si="453">VLOOKUP(C1009,AW:AX,2,FALSE)</f>
        <v>#N/A</v>
      </c>
    </row>
    <row r="1010" spans="1:46" ht="61.5" x14ac:dyDescent="0.85">
      <c r="A1010" s="21">
        <v>1</v>
      </c>
      <c r="B1010" s="70">
        <f>SUBTOTAL(103,$A$896:A1010)</f>
        <v>111</v>
      </c>
      <c r="C1010" s="25" t="s">
        <v>403</v>
      </c>
      <c r="D1010" s="32">
        <f t="shared" ref="D1010:D1011" si="454">E1010+F1010+G1010+H1010+I1010+J1010+L1010+N1010+P1010+R1010+T1010+U1010+V1010+W1010+X1010+Y1010+Z1010+AA1010+AB1010+AC1010+AD1010+AE1010</f>
        <v>7550257.2599999998</v>
      </c>
      <c r="E1010" s="32">
        <v>564251.4</v>
      </c>
      <c r="F1010" s="32">
        <v>1368969.5</v>
      </c>
      <c r="G1010" s="32">
        <v>1773880.4000000001</v>
      </c>
      <c r="H1010" s="32">
        <v>1005360.8</v>
      </c>
      <c r="I1010" s="32">
        <v>2430648.5</v>
      </c>
      <c r="J1010" s="32">
        <v>0</v>
      </c>
      <c r="K1010" s="34">
        <v>0</v>
      </c>
      <c r="L1010" s="32">
        <v>0</v>
      </c>
      <c r="M1010" s="32">
        <v>0</v>
      </c>
      <c r="N1010" s="32">
        <v>0</v>
      </c>
      <c r="O1010" s="32">
        <v>0</v>
      </c>
      <c r="P1010" s="32">
        <v>0</v>
      </c>
      <c r="Q1010" s="32">
        <v>0</v>
      </c>
      <c r="R1010" s="32">
        <v>0</v>
      </c>
      <c r="S1010" s="32">
        <v>0</v>
      </c>
      <c r="T1010" s="32">
        <v>0</v>
      </c>
      <c r="U1010" s="32">
        <v>0</v>
      </c>
      <c r="V1010" s="32">
        <v>0</v>
      </c>
      <c r="W1010" s="32">
        <v>0</v>
      </c>
      <c r="X1010" s="32">
        <v>0</v>
      </c>
      <c r="Y1010" s="32">
        <v>0</v>
      </c>
      <c r="Z1010" s="32">
        <v>0</v>
      </c>
      <c r="AA1010" s="32">
        <v>0</v>
      </c>
      <c r="AB1010" s="32">
        <v>0</v>
      </c>
      <c r="AC1010" s="32">
        <f t="shared" ref="AC1010" si="455">ROUND((E1010+F1010+G1010+H1010+I1010+J1010)*1.5%,2)</f>
        <v>107146.66</v>
      </c>
      <c r="AD1010" s="32">
        <v>300000</v>
      </c>
      <c r="AE1010" s="32">
        <v>0</v>
      </c>
      <c r="AF1010" s="35">
        <v>2022</v>
      </c>
      <c r="AG1010" s="35">
        <v>2022</v>
      </c>
      <c r="AH1010" s="36">
        <v>2022</v>
      </c>
      <c r="AT1010" s="21" t="e">
        <f t="shared" si="453"/>
        <v>#N/A</v>
      </c>
    </row>
    <row r="1011" spans="1:46" ht="61.5" x14ac:dyDescent="0.85">
      <c r="A1011" s="21">
        <v>1</v>
      </c>
      <c r="B1011" s="70">
        <f>SUBTOTAL(103,$A$896:A1011)</f>
        <v>112</v>
      </c>
      <c r="C1011" s="25" t="s">
        <v>404</v>
      </c>
      <c r="D1011" s="32">
        <f t="shared" si="454"/>
        <v>14305957.390000001</v>
      </c>
      <c r="E1011" s="32">
        <v>0</v>
      </c>
      <c r="F1011" s="32">
        <v>0</v>
      </c>
      <c r="G1011" s="32">
        <v>0</v>
      </c>
      <c r="H1011" s="32">
        <v>0</v>
      </c>
      <c r="I1011" s="32">
        <v>0</v>
      </c>
      <c r="J1011" s="32">
        <v>0</v>
      </c>
      <c r="K1011" s="34">
        <v>0</v>
      </c>
      <c r="L1011" s="32">
        <v>0</v>
      </c>
      <c r="M1011" s="32">
        <v>0</v>
      </c>
      <c r="N1011" s="32">
        <v>0</v>
      </c>
      <c r="O1011" s="32">
        <v>0</v>
      </c>
      <c r="P1011" s="32">
        <v>0</v>
      </c>
      <c r="Q1011" s="32">
        <v>7025.9</v>
      </c>
      <c r="R1011" s="32">
        <v>13897494.970000001</v>
      </c>
      <c r="S1011" s="32">
        <v>0</v>
      </c>
      <c r="T1011" s="32">
        <v>0</v>
      </c>
      <c r="U1011" s="32">
        <v>0</v>
      </c>
      <c r="V1011" s="32">
        <v>0</v>
      </c>
      <c r="W1011" s="32">
        <v>0</v>
      </c>
      <c r="X1011" s="32">
        <v>0</v>
      </c>
      <c r="Y1011" s="32">
        <v>0</v>
      </c>
      <c r="Z1011" s="32">
        <v>0</v>
      </c>
      <c r="AA1011" s="32">
        <v>0</v>
      </c>
      <c r="AB1011" s="32">
        <v>0</v>
      </c>
      <c r="AC1011" s="32">
        <f t="shared" ref="AC1011" si="456">ROUND(R1011*1.5%,2)</f>
        <v>208462.42</v>
      </c>
      <c r="AD1011" s="32">
        <v>200000</v>
      </c>
      <c r="AE1011" s="32">
        <v>0</v>
      </c>
      <c r="AF1011" s="35">
        <v>2022</v>
      </c>
      <c r="AG1011" s="35">
        <v>2022</v>
      </c>
      <c r="AH1011" s="36">
        <v>2022</v>
      </c>
      <c r="AT1011" s="21" t="e">
        <f t="shared" si="453"/>
        <v>#N/A</v>
      </c>
    </row>
    <row r="1012" spans="1:46" ht="61.5" x14ac:dyDescent="0.85">
      <c r="B1012" s="25" t="s">
        <v>867</v>
      </c>
      <c r="C1012" s="110"/>
      <c r="D1012" s="32">
        <f>SUM(D1013:D1020)</f>
        <v>51679396.32</v>
      </c>
      <c r="E1012" s="32">
        <f t="shared" ref="E1012:AE1012" si="457">SUM(E1013:E1020)</f>
        <v>0</v>
      </c>
      <c r="F1012" s="32">
        <f t="shared" si="457"/>
        <v>0</v>
      </c>
      <c r="G1012" s="32">
        <f t="shared" si="457"/>
        <v>0</v>
      </c>
      <c r="H1012" s="32">
        <f t="shared" si="457"/>
        <v>0</v>
      </c>
      <c r="I1012" s="32">
        <f t="shared" si="457"/>
        <v>0</v>
      </c>
      <c r="J1012" s="32">
        <f t="shared" si="457"/>
        <v>0</v>
      </c>
      <c r="K1012" s="34">
        <f t="shared" si="457"/>
        <v>0</v>
      </c>
      <c r="L1012" s="32">
        <f t="shared" si="457"/>
        <v>0</v>
      </c>
      <c r="M1012" s="32">
        <f t="shared" si="457"/>
        <v>8012.4</v>
      </c>
      <c r="N1012" s="32">
        <f t="shared" si="457"/>
        <v>38548714.689999998</v>
      </c>
      <c r="O1012" s="32">
        <f t="shared" si="457"/>
        <v>0</v>
      </c>
      <c r="P1012" s="32">
        <f t="shared" si="457"/>
        <v>0</v>
      </c>
      <c r="Q1012" s="32">
        <f t="shared" si="457"/>
        <v>1159.1199999999999</v>
      </c>
      <c r="R1012" s="32">
        <f t="shared" si="457"/>
        <v>4474917.3</v>
      </c>
      <c r="S1012" s="32">
        <f t="shared" si="457"/>
        <v>209</v>
      </c>
      <c r="T1012" s="32">
        <f t="shared" si="457"/>
        <v>6571832.3700000001</v>
      </c>
      <c r="U1012" s="32">
        <f t="shared" si="457"/>
        <v>0</v>
      </c>
      <c r="V1012" s="32">
        <f t="shared" si="457"/>
        <v>0</v>
      </c>
      <c r="W1012" s="32">
        <f t="shared" si="457"/>
        <v>0</v>
      </c>
      <c r="X1012" s="32">
        <f t="shared" si="457"/>
        <v>0</v>
      </c>
      <c r="Y1012" s="32">
        <f t="shared" si="457"/>
        <v>0</v>
      </c>
      <c r="Z1012" s="32">
        <f t="shared" si="457"/>
        <v>0</v>
      </c>
      <c r="AA1012" s="32">
        <f t="shared" si="457"/>
        <v>0</v>
      </c>
      <c r="AB1012" s="32">
        <f t="shared" si="457"/>
        <v>0</v>
      </c>
      <c r="AC1012" s="32">
        <f t="shared" si="457"/>
        <v>743931.95999999985</v>
      </c>
      <c r="AD1012" s="32">
        <f t="shared" si="457"/>
        <v>1340000</v>
      </c>
      <c r="AE1012" s="32">
        <f t="shared" si="457"/>
        <v>0</v>
      </c>
      <c r="AF1012" s="77" t="s">
        <v>801</v>
      </c>
      <c r="AG1012" s="77" t="s">
        <v>801</v>
      </c>
      <c r="AH1012" s="107" t="s">
        <v>801</v>
      </c>
      <c r="AT1012" s="21" t="e">
        <f t="shared" si="453"/>
        <v>#N/A</v>
      </c>
    </row>
    <row r="1013" spans="1:46" ht="61.5" x14ac:dyDescent="0.85">
      <c r="A1013" s="21">
        <v>1</v>
      </c>
      <c r="B1013" s="70">
        <f>SUBTOTAL(103,$A$896:A1013)</f>
        <v>113</v>
      </c>
      <c r="C1013" s="25" t="s">
        <v>652</v>
      </c>
      <c r="D1013" s="32">
        <f t="shared" ref="D1013:D1020" si="458">E1013+F1013+G1013+H1013+I1013+J1013+L1013+N1013+P1013+R1013+T1013+U1013+V1013+W1013+X1013+Y1013+Z1013+AA1013+AB1013+AC1013+AD1013+AE1013</f>
        <v>5121801</v>
      </c>
      <c r="E1013" s="39">
        <v>0</v>
      </c>
      <c r="F1013" s="39">
        <v>0</v>
      </c>
      <c r="G1013" s="39">
        <v>0</v>
      </c>
      <c r="H1013" s="39">
        <v>0</v>
      </c>
      <c r="I1013" s="39">
        <v>0</v>
      </c>
      <c r="J1013" s="39">
        <v>0</v>
      </c>
      <c r="K1013" s="95">
        <v>0</v>
      </c>
      <c r="L1013" s="39">
        <v>0</v>
      </c>
      <c r="M1013" s="32">
        <v>981</v>
      </c>
      <c r="N1013" s="32">
        <v>4898326.1100000003</v>
      </c>
      <c r="O1013" s="32">
        <v>0</v>
      </c>
      <c r="P1013" s="32">
        <v>0</v>
      </c>
      <c r="Q1013" s="32">
        <v>0</v>
      </c>
      <c r="R1013" s="32">
        <v>0</v>
      </c>
      <c r="S1013" s="32">
        <v>0</v>
      </c>
      <c r="T1013" s="32">
        <v>0</v>
      </c>
      <c r="U1013" s="32">
        <v>0</v>
      </c>
      <c r="V1013" s="32">
        <v>0</v>
      </c>
      <c r="W1013" s="32">
        <v>0</v>
      </c>
      <c r="X1013" s="32">
        <v>0</v>
      </c>
      <c r="Y1013" s="32">
        <v>0</v>
      </c>
      <c r="Z1013" s="32">
        <v>0</v>
      </c>
      <c r="AA1013" s="32">
        <v>0</v>
      </c>
      <c r="AB1013" s="32">
        <v>0</v>
      </c>
      <c r="AC1013" s="32">
        <f t="shared" ref="AC1013:AC1014" si="459">ROUND(N1013*1.5%,2)</f>
        <v>73474.89</v>
      </c>
      <c r="AD1013" s="32">
        <v>150000</v>
      </c>
      <c r="AE1013" s="32">
        <v>0</v>
      </c>
      <c r="AF1013" s="35">
        <v>2022</v>
      </c>
      <c r="AG1013" s="35">
        <v>2022</v>
      </c>
      <c r="AH1013" s="36">
        <v>2022</v>
      </c>
      <c r="AT1013" s="21" t="e">
        <f t="shared" si="453"/>
        <v>#N/A</v>
      </c>
    </row>
    <row r="1014" spans="1:46" ht="61.5" x14ac:dyDescent="0.85">
      <c r="A1014" s="21">
        <v>1</v>
      </c>
      <c r="B1014" s="70">
        <f>SUBTOTAL(103,$A$896:A1014)</f>
        <v>114</v>
      </c>
      <c r="C1014" s="25" t="s">
        <v>653</v>
      </c>
      <c r="D1014" s="32">
        <f t="shared" si="458"/>
        <v>8124000</v>
      </c>
      <c r="E1014" s="39">
        <v>0</v>
      </c>
      <c r="F1014" s="39">
        <v>0</v>
      </c>
      <c r="G1014" s="39">
        <v>0</v>
      </c>
      <c r="H1014" s="39">
        <v>0</v>
      </c>
      <c r="I1014" s="39">
        <v>0</v>
      </c>
      <c r="J1014" s="39">
        <v>0</v>
      </c>
      <c r="K1014" s="95">
        <v>0</v>
      </c>
      <c r="L1014" s="39">
        <v>0</v>
      </c>
      <c r="M1014" s="32">
        <v>1692.5</v>
      </c>
      <c r="N1014" s="32">
        <v>7826600.9900000002</v>
      </c>
      <c r="O1014" s="32">
        <v>0</v>
      </c>
      <c r="P1014" s="32">
        <v>0</v>
      </c>
      <c r="Q1014" s="32">
        <v>0</v>
      </c>
      <c r="R1014" s="32">
        <v>0</v>
      </c>
      <c r="S1014" s="32">
        <v>0</v>
      </c>
      <c r="T1014" s="32">
        <v>0</v>
      </c>
      <c r="U1014" s="32">
        <v>0</v>
      </c>
      <c r="V1014" s="32">
        <v>0</v>
      </c>
      <c r="W1014" s="32">
        <v>0</v>
      </c>
      <c r="X1014" s="32">
        <v>0</v>
      </c>
      <c r="Y1014" s="32">
        <v>0</v>
      </c>
      <c r="Z1014" s="32">
        <v>0</v>
      </c>
      <c r="AA1014" s="32">
        <v>0</v>
      </c>
      <c r="AB1014" s="32">
        <v>0</v>
      </c>
      <c r="AC1014" s="32">
        <f t="shared" si="459"/>
        <v>117399.01</v>
      </c>
      <c r="AD1014" s="32">
        <v>180000</v>
      </c>
      <c r="AE1014" s="32">
        <v>0</v>
      </c>
      <c r="AF1014" s="35">
        <v>2022</v>
      </c>
      <c r="AG1014" s="35">
        <v>2022</v>
      </c>
      <c r="AH1014" s="36">
        <v>2022</v>
      </c>
      <c r="AT1014" s="21" t="e">
        <f t="shared" si="453"/>
        <v>#N/A</v>
      </c>
    </row>
    <row r="1015" spans="1:46" ht="61.5" x14ac:dyDescent="0.85">
      <c r="A1015" s="21">
        <v>1</v>
      </c>
      <c r="B1015" s="70">
        <f>SUBTOTAL(103,$A$896:A1015)</f>
        <v>115</v>
      </c>
      <c r="C1015" s="25" t="s">
        <v>659</v>
      </c>
      <c r="D1015" s="32">
        <f t="shared" si="458"/>
        <v>4742041.0599999996</v>
      </c>
      <c r="E1015" s="39">
        <v>0</v>
      </c>
      <c r="F1015" s="39">
        <v>0</v>
      </c>
      <c r="G1015" s="39">
        <v>0</v>
      </c>
      <c r="H1015" s="39">
        <v>0</v>
      </c>
      <c r="I1015" s="39">
        <v>0</v>
      </c>
      <c r="J1015" s="39">
        <v>0</v>
      </c>
      <c r="K1015" s="95">
        <v>0</v>
      </c>
      <c r="L1015" s="39">
        <v>0</v>
      </c>
      <c r="M1015" s="32">
        <v>0</v>
      </c>
      <c r="N1015" s="32">
        <v>0</v>
      </c>
      <c r="O1015" s="32">
        <v>0</v>
      </c>
      <c r="P1015" s="32">
        <v>0</v>
      </c>
      <c r="Q1015" s="32">
        <v>1159.1199999999999</v>
      </c>
      <c r="R1015" s="32">
        <v>4474917.3</v>
      </c>
      <c r="S1015" s="32">
        <v>0</v>
      </c>
      <c r="T1015" s="32">
        <v>0</v>
      </c>
      <c r="U1015" s="32">
        <v>0</v>
      </c>
      <c r="V1015" s="32">
        <v>0</v>
      </c>
      <c r="W1015" s="32">
        <v>0</v>
      </c>
      <c r="X1015" s="32">
        <v>0</v>
      </c>
      <c r="Y1015" s="32">
        <v>0</v>
      </c>
      <c r="Z1015" s="32">
        <v>0</v>
      </c>
      <c r="AA1015" s="32">
        <v>0</v>
      </c>
      <c r="AB1015" s="32">
        <v>0</v>
      </c>
      <c r="AC1015" s="32">
        <f t="shared" ref="AC1015" si="460">ROUND(R1015*1.5%,2)</f>
        <v>67123.759999999995</v>
      </c>
      <c r="AD1015" s="32">
        <v>200000</v>
      </c>
      <c r="AE1015" s="32">
        <v>0</v>
      </c>
      <c r="AF1015" s="35">
        <v>2022</v>
      </c>
      <c r="AG1015" s="35">
        <v>2022</v>
      </c>
      <c r="AH1015" s="36">
        <v>2022</v>
      </c>
      <c r="AT1015" s="21" t="e">
        <f t="shared" si="453"/>
        <v>#N/A</v>
      </c>
    </row>
    <row r="1016" spans="1:46" ht="61.5" x14ac:dyDescent="0.85">
      <c r="A1016" s="21">
        <v>1</v>
      </c>
      <c r="B1016" s="70">
        <f>SUBTOTAL(103,$A$896:A1016)</f>
        <v>116</v>
      </c>
      <c r="C1016" s="25" t="s">
        <v>657</v>
      </c>
      <c r="D1016" s="32">
        <f t="shared" si="458"/>
        <v>9052752</v>
      </c>
      <c r="E1016" s="39">
        <v>0</v>
      </c>
      <c r="F1016" s="39">
        <v>0</v>
      </c>
      <c r="G1016" s="39">
        <v>0</v>
      </c>
      <c r="H1016" s="39">
        <v>0</v>
      </c>
      <c r="I1016" s="39">
        <v>0</v>
      </c>
      <c r="J1016" s="39">
        <v>0</v>
      </c>
      <c r="K1016" s="95">
        <v>0</v>
      </c>
      <c r="L1016" s="39">
        <v>0</v>
      </c>
      <c r="M1016" s="32">
        <v>1812</v>
      </c>
      <c r="N1016" s="32">
        <v>8741627.5899999999</v>
      </c>
      <c r="O1016" s="32">
        <v>0</v>
      </c>
      <c r="P1016" s="32">
        <v>0</v>
      </c>
      <c r="Q1016" s="32">
        <v>0</v>
      </c>
      <c r="R1016" s="32">
        <v>0</v>
      </c>
      <c r="S1016" s="32">
        <v>0</v>
      </c>
      <c r="T1016" s="32">
        <v>0</v>
      </c>
      <c r="U1016" s="32">
        <v>0</v>
      </c>
      <c r="V1016" s="32">
        <v>0</v>
      </c>
      <c r="W1016" s="32">
        <v>0</v>
      </c>
      <c r="X1016" s="32">
        <v>0</v>
      </c>
      <c r="Y1016" s="32">
        <v>0</v>
      </c>
      <c r="Z1016" s="32">
        <v>0</v>
      </c>
      <c r="AA1016" s="32">
        <v>0</v>
      </c>
      <c r="AB1016" s="32">
        <v>0</v>
      </c>
      <c r="AC1016" s="32">
        <f>ROUND(N1016*1.5%,2)</f>
        <v>131124.41</v>
      </c>
      <c r="AD1016" s="32">
        <v>180000</v>
      </c>
      <c r="AE1016" s="32">
        <v>0</v>
      </c>
      <c r="AF1016" s="35">
        <v>2022</v>
      </c>
      <c r="AG1016" s="35">
        <v>2022</v>
      </c>
      <c r="AH1016" s="36">
        <v>2022</v>
      </c>
      <c r="AT1016" s="21" t="e">
        <f t="shared" si="453"/>
        <v>#N/A</v>
      </c>
    </row>
    <row r="1017" spans="1:46" ht="61.5" x14ac:dyDescent="0.85">
      <c r="A1017" s="21">
        <v>1</v>
      </c>
      <c r="B1017" s="70">
        <f>SUBTOTAL(103,$A$896:A1017)</f>
        <v>117</v>
      </c>
      <c r="C1017" s="25" t="s">
        <v>671</v>
      </c>
      <c r="D1017" s="32">
        <f t="shared" si="458"/>
        <v>6820409.8600000003</v>
      </c>
      <c r="E1017" s="39">
        <v>0</v>
      </c>
      <c r="F1017" s="39">
        <v>0</v>
      </c>
      <c r="G1017" s="39">
        <v>0</v>
      </c>
      <c r="H1017" s="39">
        <v>0</v>
      </c>
      <c r="I1017" s="39">
        <v>0</v>
      </c>
      <c r="J1017" s="39">
        <v>0</v>
      </c>
      <c r="K1017" s="95">
        <v>0</v>
      </c>
      <c r="L1017" s="39">
        <v>0</v>
      </c>
      <c r="M1017" s="32">
        <v>0</v>
      </c>
      <c r="N1017" s="32">
        <v>0</v>
      </c>
      <c r="O1017" s="32">
        <v>0</v>
      </c>
      <c r="P1017" s="32">
        <v>0</v>
      </c>
      <c r="Q1017" s="32">
        <v>0</v>
      </c>
      <c r="R1017" s="32">
        <v>0</v>
      </c>
      <c r="S1017" s="32">
        <v>209</v>
      </c>
      <c r="T1017" s="32">
        <v>6571832.3700000001</v>
      </c>
      <c r="U1017" s="32">
        <v>0</v>
      </c>
      <c r="V1017" s="32">
        <v>0</v>
      </c>
      <c r="W1017" s="32">
        <v>0</v>
      </c>
      <c r="X1017" s="32">
        <v>0</v>
      </c>
      <c r="Y1017" s="32">
        <v>0</v>
      </c>
      <c r="Z1017" s="32">
        <v>0</v>
      </c>
      <c r="AA1017" s="32">
        <v>0</v>
      </c>
      <c r="AB1017" s="32">
        <v>0</v>
      </c>
      <c r="AC1017" s="32">
        <f>ROUND(T1017*1.5%,2)</f>
        <v>98577.49</v>
      </c>
      <c r="AD1017" s="32">
        <v>150000</v>
      </c>
      <c r="AE1017" s="32">
        <v>0</v>
      </c>
      <c r="AF1017" s="35">
        <v>2022</v>
      </c>
      <c r="AG1017" s="35">
        <v>2022</v>
      </c>
      <c r="AH1017" s="36">
        <v>2022</v>
      </c>
      <c r="AT1017" s="21" t="e">
        <f t="shared" si="453"/>
        <v>#N/A</v>
      </c>
    </row>
    <row r="1018" spans="1:46" ht="61.5" x14ac:dyDescent="0.85">
      <c r="A1018" s="21">
        <v>1</v>
      </c>
      <c r="B1018" s="70">
        <f>SUBTOTAL(103,$A$896:A1018)</f>
        <v>118</v>
      </c>
      <c r="C1018" s="25" t="s">
        <v>675</v>
      </c>
      <c r="D1018" s="32">
        <f t="shared" si="458"/>
        <v>9102212.3999999985</v>
      </c>
      <c r="E1018" s="39">
        <v>0</v>
      </c>
      <c r="F1018" s="39">
        <v>0</v>
      </c>
      <c r="G1018" s="39">
        <v>0</v>
      </c>
      <c r="H1018" s="39">
        <v>0</v>
      </c>
      <c r="I1018" s="39">
        <v>0</v>
      </c>
      <c r="J1018" s="39">
        <v>0</v>
      </c>
      <c r="K1018" s="95">
        <v>0</v>
      </c>
      <c r="L1018" s="39">
        <v>0</v>
      </c>
      <c r="M1018" s="32">
        <v>1821.9</v>
      </c>
      <c r="N1018" s="32">
        <v>8790357.0399999991</v>
      </c>
      <c r="O1018" s="32">
        <v>0</v>
      </c>
      <c r="P1018" s="32">
        <v>0</v>
      </c>
      <c r="Q1018" s="32">
        <v>0</v>
      </c>
      <c r="R1018" s="32">
        <v>0</v>
      </c>
      <c r="S1018" s="32">
        <v>0</v>
      </c>
      <c r="T1018" s="32">
        <v>0</v>
      </c>
      <c r="U1018" s="32">
        <v>0</v>
      </c>
      <c r="V1018" s="32">
        <v>0</v>
      </c>
      <c r="W1018" s="32">
        <v>0</v>
      </c>
      <c r="X1018" s="32">
        <v>0</v>
      </c>
      <c r="Y1018" s="32">
        <v>0</v>
      </c>
      <c r="Z1018" s="32">
        <v>0</v>
      </c>
      <c r="AA1018" s="32">
        <v>0</v>
      </c>
      <c r="AB1018" s="32">
        <v>0</v>
      </c>
      <c r="AC1018" s="32">
        <f t="shared" ref="AC1018:AC1020" si="461">ROUND(N1018*1.5%,2)</f>
        <v>131855.35999999999</v>
      </c>
      <c r="AD1018" s="32">
        <v>180000</v>
      </c>
      <c r="AE1018" s="32">
        <v>0</v>
      </c>
      <c r="AF1018" s="35">
        <v>2022</v>
      </c>
      <c r="AG1018" s="35">
        <v>2022</v>
      </c>
      <c r="AH1018" s="36">
        <v>2022</v>
      </c>
      <c r="AT1018" s="21" t="e">
        <f t="shared" si="453"/>
        <v>#N/A</v>
      </c>
    </row>
    <row r="1019" spans="1:46" ht="61.5" x14ac:dyDescent="0.85">
      <c r="A1019" s="21">
        <v>1</v>
      </c>
      <c r="B1019" s="70">
        <f>SUBTOTAL(103,$A$896:A1019)</f>
        <v>119</v>
      </c>
      <c r="C1019" s="25" t="s">
        <v>679</v>
      </c>
      <c r="D1019" s="32">
        <f t="shared" si="458"/>
        <v>4594480</v>
      </c>
      <c r="E1019" s="39">
        <v>0</v>
      </c>
      <c r="F1019" s="39">
        <v>0</v>
      </c>
      <c r="G1019" s="39">
        <v>0</v>
      </c>
      <c r="H1019" s="39">
        <v>0</v>
      </c>
      <c r="I1019" s="39">
        <v>0</v>
      </c>
      <c r="J1019" s="39">
        <v>0</v>
      </c>
      <c r="K1019" s="95">
        <v>0</v>
      </c>
      <c r="L1019" s="39">
        <v>0</v>
      </c>
      <c r="M1019" s="32">
        <v>880</v>
      </c>
      <c r="N1019" s="32">
        <v>4378798.03</v>
      </c>
      <c r="O1019" s="32">
        <v>0</v>
      </c>
      <c r="P1019" s="32">
        <v>0</v>
      </c>
      <c r="Q1019" s="32">
        <v>0</v>
      </c>
      <c r="R1019" s="32">
        <v>0</v>
      </c>
      <c r="S1019" s="32">
        <v>0</v>
      </c>
      <c r="T1019" s="32">
        <v>0</v>
      </c>
      <c r="U1019" s="32">
        <v>0</v>
      </c>
      <c r="V1019" s="32">
        <v>0</v>
      </c>
      <c r="W1019" s="32">
        <v>0</v>
      </c>
      <c r="X1019" s="32">
        <v>0</v>
      </c>
      <c r="Y1019" s="32">
        <v>0</v>
      </c>
      <c r="Z1019" s="32">
        <v>0</v>
      </c>
      <c r="AA1019" s="32">
        <v>0</v>
      </c>
      <c r="AB1019" s="32">
        <v>0</v>
      </c>
      <c r="AC1019" s="32">
        <f t="shared" si="461"/>
        <v>65681.97</v>
      </c>
      <c r="AD1019" s="32">
        <v>150000</v>
      </c>
      <c r="AE1019" s="32">
        <v>0</v>
      </c>
      <c r="AF1019" s="35">
        <v>2022</v>
      </c>
      <c r="AG1019" s="35">
        <v>2022</v>
      </c>
      <c r="AH1019" s="36">
        <v>2022</v>
      </c>
      <c r="AT1019" s="21" t="e">
        <f t="shared" si="453"/>
        <v>#N/A</v>
      </c>
    </row>
    <row r="1020" spans="1:46" ht="61.5" x14ac:dyDescent="0.85">
      <c r="A1020" s="21">
        <v>1</v>
      </c>
      <c r="B1020" s="70">
        <f>SUBTOTAL(103,$A$896:A1020)</f>
        <v>120</v>
      </c>
      <c r="C1020" s="25" t="s">
        <v>678</v>
      </c>
      <c r="D1020" s="32">
        <f t="shared" si="458"/>
        <v>4121700</v>
      </c>
      <c r="E1020" s="39">
        <v>0</v>
      </c>
      <c r="F1020" s="39">
        <v>0</v>
      </c>
      <c r="G1020" s="39">
        <v>0</v>
      </c>
      <c r="H1020" s="39">
        <v>0</v>
      </c>
      <c r="I1020" s="39">
        <v>0</v>
      </c>
      <c r="J1020" s="39">
        <v>0</v>
      </c>
      <c r="K1020" s="95">
        <v>0</v>
      </c>
      <c r="L1020" s="39">
        <v>0</v>
      </c>
      <c r="M1020" s="32">
        <v>825</v>
      </c>
      <c r="N1020" s="32">
        <v>3913004.93</v>
      </c>
      <c r="O1020" s="32">
        <v>0</v>
      </c>
      <c r="P1020" s="32">
        <v>0</v>
      </c>
      <c r="Q1020" s="32">
        <v>0</v>
      </c>
      <c r="R1020" s="32">
        <v>0</v>
      </c>
      <c r="S1020" s="32">
        <v>0</v>
      </c>
      <c r="T1020" s="32">
        <v>0</v>
      </c>
      <c r="U1020" s="32">
        <v>0</v>
      </c>
      <c r="V1020" s="32">
        <v>0</v>
      </c>
      <c r="W1020" s="32">
        <v>0</v>
      </c>
      <c r="X1020" s="32">
        <v>0</v>
      </c>
      <c r="Y1020" s="32">
        <v>0</v>
      </c>
      <c r="Z1020" s="32">
        <v>0</v>
      </c>
      <c r="AA1020" s="32">
        <v>0</v>
      </c>
      <c r="AB1020" s="32">
        <v>0</v>
      </c>
      <c r="AC1020" s="32">
        <f t="shared" si="461"/>
        <v>58695.07</v>
      </c>
      <c r="AD1020" s="32">
        <v>150000</v>
      </c>
      <c r="AE1020" s="32">
        <v>0</v>
      </c>
      <c r="AF1020" s="35">
        <v>2022</v>
      </c>
      <c r="AG1020" s="35">
        <v>2022</v>
      </c>
      <c r="AH1020" s="36">
        <v>2022</v>
      </c>
      <c r="AT1020" s="21" t="e">
        <f t="shared" si="453"/>
        <v>#N/A</v>
      </c>
    </row>
    <row r="1021" spans="1:46" ht="61.5" x14ac:dyDescent="0.85">
      <c r="B1021" s="25" t="s">
        <v>868</v>
      </c>
      <c r="C1021" s="25"/>
      <c r="D1021" s="32">
        <f>SUM(D1022:D1024)</f>
        <v>9890638.1399999987</v>
      </c>
      <c r="E1021" s="32">
        <f t="shared" ref="E1021:AE1021" si="462">SUM(E1022:E1024)</f>
        <v>0</v>
      </c>
      <c r="F1021" s="32">
        <f t="shared" si="462"/>
        <v>0</v>
      </c>
      <c r="G1021" s="32">
        <f t="shared" si="462"/>
        <v>0</v>
      </c>
      <c r="H1021" s="32">
        <f t="shared" si="462"/>
        <v>0</v>
      </c>
      <c r="I1021" s="32">
        <f t="shared" si="462"/>
        <v>0</v>
      </c>
      <c r="J1021" s="32">
        <f t="shared" si="462"/>
        <v>0</v>
      </c>
      <c r="K1021" s="34">
        <f t="shared" si="462"/>
        <v>0</v>
      </c>
      <c r="L1021" s="32">
        <f t="shared" si="462"/>
        <v>0</v>
      </c>
      <c r="M1021" s="32">
        <f t="shared" si="462"/>
        <v>1978.7</v>
      </c>
      <c r="N1021" s="32">
        <f t="shared" si="462"/>
        <v>9350382.4000000004</v>
      </c>
      <c r="O1021" s="32">
        <f t="shared" si="462"/>
        <v>0</v>
      </c>
      <c r="P1021" s="32">
        <f t="shared" si="462"/>
        <v>0</v>
      </c>
      <c r="Q1021" s="32">
        <f t="shared" si="462"/>
        <v>0</v>
      </c>
      <c r="R1021" s="32">
        <f t="shared" si="462"/>
        <v>0</v>
      </c>
      <c r="S1021" s="32">
        <f t="shared" si="462"/>
        <v>0</v>
      </c>
      <c r="T1021" s="32">
        <f t="shared" si="462"/>
        <v>0</v>
      </c>
      <c r="U1021" s="32">
        <f t="shared" si="462"/>
        <v>0</v>
      </c>
      <c r="V1021" s="32">
        <f t="shared" si="462"/>
        <v>0</v>
      </c>
      <c r="W1021" s="32">
        <f t="shared" si="462"/>
        <v>0</v>
      </c>
      <c r="X1021" s="32">
        <f t="shared" si="462"/>
        <v>0</v>
      </c>
      <c r="Y1021" s="32">
        <f t="shared" si="462"/>
        <v>0</v>
      </c>
      <c r="Z1021" s="32">
        <f t="shared" si="462"/>
        <v>0</v>
      </c>
      <c r="AA1021" s="32">
        <f t="shared" si="462"/>
        <v>0</v>
      </c>
      <c r="AB1021" s="32">
        <f t="shared" si="462"/>
        <v>0</v>
      </c>
      <c r="AC1021" s="32">
        <f t="shared" si="462"/>
        <v>140255.74</v>
      </c>
      <c r="AD1021" s="32">
        <f t="shared" si="462"/>
        <v>400000</v>
      </c>
      <c r="AE1021" s="32">
        <f t="shared" si="462"/>
        <v>0</v>
      </c>
      <c r="AF1021" s="77" t="s">
        <v>801</v>
      </c>
      <c r="AG1021" s="77" t="s">
        <v>801</v>
      </c>
      <c r="AH1021" s="107" t="s">
        <v>801</v>
      </c>
      <c r="AT1021" s="21" t="e">
        <f t="shared" si="453"/>
        <v>#N/A</v>
      </c>
    </row>
    <row r="1022" spans="1:46" ht="61.5" x14ac:dyDescent="0.85">
      <c r="A1022" s="21">
        <v>1</v>
      </c>
      <c r="B1022" s="70">
        <f>SUBTOTAL(103,$A$896:A1022)</f>
        <v>121</v>
      </c>
      <c r="C1022" s="25" t="s">
        <v>684</v>
      </c>
      <c r="D1022" s="32">
        <f t="shared" ref="D1022:D1024" si="463">E1022+F1022+G1022+H1022+I1022+J1022+L1022+N1022+P1022+R1022+T1022+U1022+V1022+W1022+X1022+Y1022+Z1022+AA1022+AB1022+AC1022+AD1022+AE1022</f>
        <v>4229613.5999999996</v>
      </c>
      <c r="E1022" s="39">
        <v>0</v>
      </c>
      <c r="F1022" s="39">
        <v>0</v>
      </c>
      <c r="G1022" s="39">
        <v>0</v>
      </c>
      <c r="H1022" s="39">
        <v>0</v>
      </c>
      <c r="I1022" s="39">
        <v>0</v>
      </c>
      <c r="J1022" s="39">
        <v>0</v>
      </c>
      <c r="K1022" s="95">
        <v>0</v>
      </c>
      <c r="L1022" s="39">
        <v>0</v>
      </c>
      <c r="M1022" s="32">
        <v>846.6</v>
      </c>
      <c r="N1022" s="32">
        <v>4019323.74</v>
      </c>
      <c r="O1022" s="32">
        <v>0</v>
      </c>
      <c r="P1022" s="32">
        <v>0</v>
      </c>
      <c r="Q1022" s="32">
        <v>0</v>
      </c>
      <c r="R1022" s="32">
        <v>0</v>
      </c>
      <c r="S1022" s="32">
        <v>0</v>
      </c>
      <c r="T1022" s="32">
        <v>0</v>
      </c>
      <c r="U1022" s="32">
        <v>0</v>
      </c>
      <c r="V1022" s="32">
        <v>0</v>
      </c>
      <c r="W1022" s="32">
        <v>0</v>
      </c>
      <c r="X1022" s="32">
        <v>0</v>
      </c>
      <c r="Y1022" s="32">
        <v>0</v>
      </c>
      <c r="Z1022" s="32">
        <v>0</v>
      </c>
      <c r="AA1022" s="32">
        <v>0</v>
      </c>
      <c r="AB1022" s="32">
        <v>0</v>
      </c>
      <c r="AC1022" s="32">
        <f t="shared" ref="AC1022:AC1024" si="464">ROUND(N1022*1.5%,2)</f>
        <v>60289.86</v>
      </c>
      <c r="AD1022" s="32">
        <v>150000</v>
      </c>
      <c r="AE1022" s="32">
        <v>0</v>
      </c>
      <c r="AF1022" s="35">
        <v>2022</v>
      </c>
      <c r="AG1022" s="35">
        <v>2022</v>
      </c>
      <c r="AH1022" s="36">
        <v>2022</v>
      </c>
      <c r="AT1022" s="21" t="e">
        <f t="shared" si="453"/>
        <v>#N/A</v>
      </c>
    </row>
    <row r="1023" spans="1:46" ht="61.5" x14ac:dyDescent="0.85">
      <c r="A1023" s="21">
        <v>1</v>
      </c>
      <c r="B1023" s="70">
        <f>SUBTOTAL(103,$A$896:A1023)</f>
        <v>122</v>
      </c>
      <c r="C1023" s="25" t="s">
        <v>1173</v>
      </c>
      <c r="D1023" s="32">
        <f t="shared" si="463"/>
        <v>4226815.84</v>
      </c>
      <c r="E1023" s="39">
        <v>0</v>
      </c>
      <c r="F1023" s="39">
        <v>0</v>
      </c>
      <c r="G1023" s="39">
        <v>0</v>
      </c>
      <c r="H1023" s="39">
        <v>0</v>
      </c>
      <c r="I1023" s="39">
        <v>0</v>
      </c>
      <c r="J1023" s="39">
        <v>0</v>
      </c>
      <c r="K1023" s="95">
        <v>0</v>
      </c>
      <c r="L1023" s="39">
        <v>0</v>
      </c>
      <c r="M1023" s="32">
        <v>857.4</v>
      </c>
      <c r="N1023" s="32">
        <v>4036271.76</v>
      </c>
      <c r="O1023" s="32">
        <v>0</v>
      </c>
      <c r="P1023" s="32">
        <v>0</v>
      </c>
      <c r="Q1023" s="32">
        <v>0</v>
      </c>
      <c r="R1023" s="32">
        <v>0</v>
      </c>
      <c r="S1023" s="32">
        <v>0</v>
      </c>
      <c r="T1023" s="32">
        <v>0</v>
      </c>
      <c r="U1023" s="32">
        <v>0</v>
      </c>
      <c r="V1023" s="32">
        <v>0</v>
      </c>
      <c r="W1023" s="32">
        <v>0</v>
      </c>
      <c r="X1023" s="32">
        <v>0</v>
      </c>
      <c r="Y1023" s="32">
        <v>0</v>
      </c>
      <c r="Z1023" s="32">
        <v>0</v>
      </c>
      <c r="AA1023" s="32">
        <v>0</v>
      </c>
      <c r="AB1023" s="32">
        <v>0</v>
      </c>
      <c r="AC1023" s="32">
        <f t="shared" si="464"/>
        <v>60544.08</v>
      </c>
      <c r="AD1023" s="32">
        <v>130000</v>
      </c>
      <c r="AE1023" s="32">
        <v>0</v>
      </c>
      <c r="AF1023" s="35">
        <v>2022</v>
      </c>
      <c r="AG1023" s="35">
        <v>2022</v>
      </c>
      <c r="AH1023" s="36">
        <v>2022</v>
      </c>
    </row>
    <row r="1024" spans="1:46" ht="61.5" x14ac:dyDescent="0.85">
      <c r="A1024" s="21">
        <v>1</v>
      </c>
      <c r="B1024" s="70">
        <f>SUBTOTAL(103,$A$896:A1024)</f>
        <v>123</v>
      </c>
      <c r="C1024" s="25" t="s">
        <v>682</v>
      </c>
      <c r="D1024" s="32">
        <f t="shared" si="463"/>
        <v>1434208.7</v>
      </c>
      <c r="E1024" s="39">
        <v>0</v>
      </c>
      <c r="F1024" s="39">
        <v>0</v>
      </c>
      <c r="G1024" s="39">
        <v>0</v>
      </c>
      <c r="H1024" s="39">
        <v>0</v>
      </c>
      <c r="I1024" s="39">
        <v>0</v>
      </c>
      <c r="J1024" s="39">
        <v>0</v>
      </c>
      <c r="K1024" s="95">
        <v>0</v>
      </c>
      <c r="L1024" s="39">
        <v>0</v>
      </c>
      <c r="M1024" s="32">
        <v>274.7</v>
      </c>
      <c r="N1024" s="32">
        <v>1294786.8999999999</v>
      </c>
      <c r="O1024" s="32">
        <v>0</v>
      </c>
      <c r="P1024" s="32">
        <v>0</v>
      </c>
      <c r="Q1024" s="32">
        <v>0</v>
      </c>
      <c r="R1024" s="32">
        <v>0</v>
      </c>
      <c r="S1024" s="32">
        <v>0</v>
      </c>
      <c r="T1024" s="32">
        <v>0</v>
      </c>
      <c r="U1024" s="32">
        <v>0</v>
      </c>
      <c r="V1024" s="32">
        <v>0</v>
      </c>
      <c r="W1024" s="32">
        <v>0</v>
      </c>
      <c r="X1024" s="32">
        <v>0</v>
      </c>
      <c r="Y1024" s="32">
        <v>0</v>
      </c>
      <c r="Z1024" s="32">
        <v>0</v>
      </c>
      <c r="AA1024" s="32">
        <v>0</v>
      </c>
      <c r="AB1024" s="32">
        <v>0</v>
      </c>
      <c r="AC1024" s="32">
        <f t="shared" si="464"/>
        <v>19421.8</v>
      </c>
      <c r="AD1024" s="32">
        <v>120000</v>
      </c>
      <c r="AE1024" s="32">
        <v>0</v>
      </c>
      <c r="AF1024" s="35">
        <v>2022</v>
      </c>
      <c r="AG1024" s="35">
        <v>2022</v>
      </c>
      <c r="AH1024" s="36">
        <v>2022</v>
      </c>
      <c r="AT1024" s="21" t="e">
        <f t="shared" ref="AT1024:AT1055" si="465">VLOOKUP(C1024,AW:AX,2,FALSE)</f>
        <v>#N/A</v>
      </c>
    </row>
    <row r="1025" spans="1:46" ht="61.5" x14ac:dyDescent="0.85">
      <c r="B1025" s="25" t="s">
        <v>869</v>
      </c>
      <c r="C1025" s="25"/>
      <c r="D1025" s="32">
        <f>D1026+D1027</f>
        <v>11422752.699999999</v>
      </c>
      <c r="E1025" s="32">
        <f t="shared" ref="E1025:AE1025" si="466">E1026+E1027</f>
        <v>0</v>
      </c>
      <c r="F1025" s="32">
        <f t="shared" si="466"/>
        <v>0</v>
      </c>
      <c r="G1025" s="32">
        <f t="shared" si="466"/>
        <v>3881891.1399999997</v>
      </c>
      <c r="H1025" s="32">
        <f t="shared" si="466"/>
        <v>0</v>
      </c>
      <c r="I1025" s="32">
        <f t="shared" si="466"/>
        <v>0</v>
      </c>
      <c r="J1025" s="32">
        <f t="shared" si="466"/>
        <v>0</v>
      </c>
      <c r="K1025" s="34">
        <f t="shared" si="466"/>
        <v>0</v>
      </c>
      <c r="L1025" s="32">
        <f t="shared" si="466"/>
        <v>0</v>
      </c>
      <c r="M1025" s="32">
        <f t="shared" si="466"/>
        <v>0</v>
      </c>
      <c r="N1025" s="32">
        <f t="shared" si="466"/>
        <v>0</v>
      </c>
      <c r="O1025" s="32">
        <f t="shared" si="466"/>
        <v>0</v>
      </c>
      <c r="P1025" s="32">
        <f t="shared" si="466"/>
        <v>0</v>
      </c>
      <c r="Q1025" s="32">
        <f t="shared" si="466"/>
        <v>782.6</v>
      </c>
      <c r="R1025" s="32">
        <f t="shared" si="466"/>
        <v>2719809.65</v>
      </c>
      <c r="S1025" s="32">
        <f t="shared" si="466"/>
        <v>144</v>
      </c>
      <c r="T1025" s="32">
        <f t="shared" si="466"/>
        <v>4061109.75</v>
      </c>
      <c r="U1025" s="32">
        <f t="shared" si="466"/>
        <v>0</v>
      </c>
      <c r="V1025" s="32">
        <f t="shared" si="466"/>
        <v>0</v>
      </c>
      <c r="W1025" s="32">
        <f t="shared" si="466"/>
        <v>0</v>
      </c>
      <c r="X1025" s="32">
        <f t="shared" si="466"/>
        <v>0</v>
      </c>
      <c r="Y1025" s="32">
        <f t="shared" si="466"/>
        <v>0</v>
      </c>
      <c r="Z1025" s="32">
        <f t="shared" si="466"/>
        <v>0</v>
      </c>
      <c r="AA1025" s="32">
        <f t="shared" si="466"/>
        <v>0</v>
      </c>
      <c r="AB1025" s="32">
        <f t="shared" si="466"/>
        <v>0</v>
      </c>
      <c r="AC1025" s="32">
        <f t="shared" si="466"/>
        <v>159942.16</v>
      </c>
      <c r="AD1025" s="32">
        <f t="shared" si="466"/>
        <v>600000</v>
      </c>
      <c r="AE1025" s="32">
        <f t="shared" si="466"/>
        <v>0</v>
      </c>
      <c r="AF1025" s="77" t="s">
        <v>801</v>
      </c>
      <c r="AG1025" s="77" t="s">
        <v>801</v>
      </c>
      <c r="AH1025" s="107" t="s">
        <v>801</v>
      </c>
      <c r="AT1025" s="21" t="e">
        <f t="shared" si="465"/>
        <v>#N/A</v>
      </c>
    </row>
    <row r="1026" spans="1:46" ht="61.5" x14ac:dyDescent="0.85">
      <c r="A1026" s="21">
        <v>1</v>
      </c>
      <c r="B1026" s="70">
        <f>SUBTOTAL(103,$A$896:A1026)</f>
        <v>124</v>
      </c>
      <c r="C1026" s="25" t="s">
        <v>688</v>
      </c>
      <c r="D1026" s="32">
        <f t="shared" ref="D1026:D1027" si="467">E1026+F1026+G1026+H1026+I1026+J1026+L1026+N1026+P1026+R1026+T1026+U1026+V1026+W1026+X1026+Y1026+Z1026+AA1026+AB1026+AC1026+AD1026+AE1026</f>
        <v>4240119.51</v>
      </c>
      <c r="E1026" s="39">
        <v>0</v>
      </c>
      <c r="F1026" s="39">
        <v>0</v>
      </c>
      <c r="G1026" s="32">
        <v>3881891.1399999997</v>
      </c>
      <c r="H1026" s="39">
        <v>0</v>
      </c>
      <c r="I1026" s="39">
        <v>0</v>
      </c>
      <c r="J1026" s="39">
        <v>0</v>
      </c>
      <c r="K1026" s="95">
        <v>0</v>
      </c>
      <c r="L1026" s="39">
        <v>0</v>
      </c>
      <c r="M1026" s="32">
        <v>0</v>
      </c>
      <c r="N1026" s="32">
        <v>0</v>
      </c>
      <c r="O1026" s="32">
        <v>0</v>
      </c>
      <c r="P1026" s="32">
        <v>0</v>
      </c>
      <c r="Q1026" s="32">
        <v>0</v>
      </c>
      <c r="R1026" s="32">
        <v>0</v>
      </c>
      <c r="S1026" s="32">
        <v>0</v>
      </c>
      <c r="T1026" s="32">
        <v>0</v>
      </c>
      <c r="U1026" s="32">
        <v>0</v>
      </c>
      <c r="V1026" s="32">
        <v>0</v>
      </c>
      <c r="W1026" s="32">
        <v>0</v>
      </c>
      <c r="X1026" s="32">
        <v>0</v>
      </c>
      <c r="Y1026" s="32">
        <v>0</v>
      </c>
      <c r="Z1026" s="32">
        <v>0</v>
      </c>
      <c r="AA1026" s="32">
        <v>0</v>
      </c>
      <c r="AB1026" s="32">
        <v>0</v>
      </c>
      <c r="AC1026" s="32">
        <f t="shared" ref="AC1026" si="468">ROUND((E1026+F1026+G1026+H1026+I1026+J1026)*1.5%,2)</f>
        <v>58228.37</v>
      </c>
      <c r="AD1026" s="32">
        <v>300000</v>
      </c>
      <c r="AE1026" s="32">
        <v>0</v>
      </c>
      <c r="AF1026" s="35">
        <v>2022</v>
      </c>
      <c r="AG1026" s="35">
        <v>2022</v>
      </c>
      <c r="AH1026" s="36">
        <v>2022</v>
      </c>
      <c r="AT1026" s="21" t="e">
        <f t="shared" si="465"/>
        <v>#N/A</v>
      </c>
    </row>
    <row r="1027" spans="1:46" ht="61.5" x14ac:dyDescent="0.85">
      <c r="A1027" s="21">
        <v>1</v>
      </c>
      <c r="B1027" s="70">
        <f>SUBTOTAL(103,$A$896:A1027)</f>
        <v>125</v>
      </c>
      <c r="C1027" s="25" t="s">
        <v>692</v>
      </c>
      <c r="D1027" s="32">
        <f t="shared" si="467"/>
        <v>7182633.1900000004</v>
      </c>
      <c r="E1027" s="39">
        <v>0</v>
      </c>
      <c r="F1027" s="39">
        <v>0</v>
      </c>
      <c r="G1027" s="40">
        <v>0</v>
      </c>
      <c r="H1027" s="39">
        <v>0</v>
      </c>
      <c r="I1027" s="39">
        <v>0</v>
      </c>
      <c r="J1027" s="39">
        <v>0</v>
      </c>
      <c r="K1027" s="95">
        <v>0</v>
      </c>
      <c r="L1027" s="39">
        <v>0</v>
      </c>
      <c r="M1027" s="32">
        <v>0</v>
      </c>
      <c r="N1027" s="32">
        <v>0</v>
      </c>
      <c r="O1027" s="32">
        <v>0</v>
      </c>
      <c r="P1027" s="32">
        <v>0</v>
      </c>
      <c r="Q1027" s="32">
        <v>782.6</v>
      </c>
      <c r="R1027" s="32">
        <v>2719809.65</v>
      </c>
      <c r="S1027" s="32">
        <v>144</v>
      </c>
      <c r="T1027" s="32">
        <v>4061109.75</v>
      </c>
      <c r="U1027" s="32">
        <v>0</v>
      </c>
      <c r="V1027" s="32">
        <v>0</v>
      </c>
      <c r="W1027" s="32">
        <v>0</v>
      </c>
      <c r="X1027" s="32">
        <v>0</v>
      </c>
      <c r="Y1027" s="32">
        <v>0</v>
      </c>
      <c r="Z1027" s="32">
        <v>0</v>
      </c>
      <c r="AA1027" s="32">
        <v>0</v>
      </c>
      <c r="AB1027" s="32">
        <v>0</v>
      </c>
      <c r="AC1027" s="32">
        <f>ROUND((R1027+T1027)*1.5%,2)</f>
        <v>101713.79</v>
      </c>
      <c r="AD1027" s="32">
        <v>300000</v>
      </c>
      <c r="AE1027" s="32">
        <v>0</v>
      </c>
      <c r="AF1027" s="35">
        <v>2022</v>
      </c>
      <c r="AG1027" s="35">
        <v>2022</v>
      </c>
      <c r="AH1027" s="36">
        <v>2022</v>
      </c>
      <c r="AT1027" s="21" t="e">
        <f t="shared" si="465"/>
        <v>#N/A</v>
      </c>
    </row>
    <row r="1028" spans="1:46" ht="61.5" x14ac:dyDescent="0.85">
      <c r="B1028" s="25" t="s">
        <v>870</v>
      </c>
      <c r="C1028" s="25"/>
      <c r="D1028" s="32">
        <f>D1029+D1030</f>
        <v>9642280.0099999998</v>
      </c>
      <c r="E1028" s="32">
        <f t="shared" ref="E1028:AE1028" si="469">E1029+E1030</f>
        <v>0</v>
      </c>
      <c r="F1028" s="32">
        <f t="shared" si="469"/>
        <v>0</v>
      </c>
      <c r="G1028" s="32">
        <f t="shared" si="469"/>
        <v>0</v>
      </c>
      <c r="H1028" s="32">
        <f t="shared" si="469"/>
        <v>0</v>
      </c>
      <c r="I1028" s="32">
        <f t="shared" si="469"/>
        <v>0</v>
      </c>
      <c r="J1028" s="32">
        <f t="shared" si="469"/>
        <v>0</v>
      </c>
      <c r="K1028" s="34">
        <f t="shared" si="469"/>
        <v>0</v>
      </c>
      <c r="L1028" s="32">
        <f t="shared" si="469"/>
        <v>0</v>
      </c>
      <c r="M1028" s="32">
        <f t="shared" si="469"/>
        <v>1930</v>
      </c>
      <c r="N1028" s="32">
        <f t="shared" si="469"/>
        <v>9174660.0999999996</v>
      </c>
      <c r="O1028" s="32">
        <f t="shared" si="469"/>
        <v>0</v>
      </c>
      <c r="P1028" s="32">
        <f t="shared" si="469"/>
        <v>0</v>
      </c>
      <c r="Q1028" s="32">
        <f t="shared" si="469"/>
        <v>0</v>
      </c>
      <c r="R1028" s="32">
        <f t="shared" si="469"/>
        <v>0</v>
      </c>
      <c r="S1028" s="32">
        <f t="shared" si="469"/>
        <v>0</v>
      </c>
      <c r="T1028" s="32">
        <f t="shared" si="469"/>
        <v>0</v>
      </c>
      <c r="U1028" s="32">
        <f t="shared" si="469"/>
        <v>0</v>
      </c>
      <c r="V1028" s="32">
        <f t="shared" si="469"/>
        <v>0</v>
      </c>
      <c r="W1028" s="32">
        <f t="shared" si="469"/>
        <v>0</v>
      </c>
      <c r="X1028" s="32">
        <f t="shared" si="469"/>
        <v>0</v>
      </c>
      <c r="Y1028" s="32">
        <f t="shared" si="469"/>
        <v>0</v>
      </c>
      <c r="Z1028" s="32">
        <f t="shared" si="469"/>
        <v>0</v>
      </c>
      <c r="AA1028" s="32">
        <f t="shared" si="469"/>
        <v>0</v>
      </c>
      <c r="AB1028" s="32">
        <f t="shared" si="469"/>
        <v>0</v>
      </c>
      <c r="AC1028" s="32">
        <f t="shared" si="469"/>
        <v>137619.91</v>
      </c>
      <c r="AD1028" s="32">
        <f t="shared" si="469"/>
        <v>330000</v>
      </c>
      <c r="AE1028" s="32">
        <f t="shared" si="469"/>
        <v>0</v>
      </c>
      <c r="AF1028" s="77" t="s">
        <v>801</v>
      </c>
      <c r="AG1028" s="77" t="s">
        <v>801</v>
      </c>
      <c r="AH1028" s="107" t="s">
        <v>801</v>
      </c>
      <c r="AT1028" s="21" t="e">
        <f t="shared" si="465"/>
        <v>#N/A</v>
      </c>
    </row>
    <row r="1029" spans="1:46" ht="61.5" x14ac:dyDescent="0.85">
      <c r="A1029" s="21">
        <v>1</v>
      </c>
      <c r="B1029" s="70">
        <f>SUBTOTAL(103,$A$896:A1029)</f>
        <v>126</v>
      </c>
      <c r="C1029" s="25" t="s">
        <v>697</v>
      </c>
      <c r="D1029" s="32">
        <f t="shared" ref="D1029:D1030" si="470">E1029+F1029+G1029+H1029+I1029+J1029+L1029+N1029+P1029+R1029+T1029+U1029+V1029+W1029+X1029+Y1029+Z1029+AA1029+AB1029+AC1029+AD1029+AE1029</f>
        <v>4146680</v>
      </c>
      <c r="E1029" s="39">
        <v>0</v>
      </c>
      <c r="F1029" s="39">
        <v>0</v>
      </c>
      <c r="G1029" s="39">
        <v>0</v>
      </c>
      <c r="H1029" s="39">
        <v>0</v>
      </c>
      <c r="I1029" s="39">
        <v>0</v>
      </c>
      <c r="J1029" s="39">
        <v>0</v>
      </c>
      <c r="K1029" s="95">
        <v>0</v>
      </c>
      <c r="L1029" s="39">
        <v>0</v>
      </c>
      <c r="M1029" s="32">
        <v>830</v>
      </c>
      <c r="N1029" s="32">
        <v>3937615.76</v>
      </c>
      <c r="O1029" s="32">
        <v>0</v>
      </c>
      <c r="P1029" s="32">
        <v>0</v>
      </c>
      <c r="Q1029" s="32">
        <v>0</v>
      </c>
      <c r="R1029" s="32">
        <v>0</v>
      </c>
      <c r="S1029" s="32">
        <v>0</v>
      </c>
      <c r="T1029" s="32">
        <v>0</v>
      </c>
      <c r="U1029" s="32">
        <v>0</v>
      </c>
      <c r="V1029" s="32">
        <v>0</v>
      </c>
      <c r="W1029" s="32">
        <v>0</v>
      </c>
      <c r="X1029" s="32">
        <v>0</v>
      </c>
      <c r="Y1029" s="32">
        <v>0</v>
      </c>
      <c r="Z1029" s="32">
        <v>0</v>
      </c>
      <c r="AA1029" s="32">
        <v>0</v>
      </c>
      <c r="AB1029" s="32">
        <v>0</v>
      </c>
      <c r="AC1029" s="32">
        <f t="shared" ref="AC1029:AC1030" si="471">ROUND(N1029*1.5%,2)</f>
        <v>59064.24</v>
      </c>
      <c r="AD1029" s="32">
        <v>150000</v>
      </c>
      <c r="AE1029" s="32">
        <v>0</v>
      </c>
      <c r="AF1029" s="35">
        <v>2022</v>
      </c>
      <c r="AG1029" s="35">
        <v>2022</v>
      </c>
      <c r="AH1029" s="36">
        <v>2022</v>
      </c>
      <c r="AT1029" s="21" t="e">
        <f t="shared" si="465"/>
        <v>#N/A</v>
      </c>
    </row>
    <row r="1030" spans="1:46" ht="61.5" x14ac:dyDescent="0.85">
      <c r="A1030" s="21">
        <v>1</v>
      </c>
      <c r="B1030" s="70">
        <f>SUBTOTAL(103,$A$896:A1030)</f>
        <v>127</v>
      </c>
      <c r="C1030" s="25" t="s">
        <v>701</v>
      </c>
      <c r="D1030" s="32">
        <f t="shared" si="470"/>
        <v>5495600.0099999998</v>
      </c>
      <c r="E1030" s="39">
        <v>0</v>
      </c>
      <c r="F1030" s="39">
        <v>0</v>
      </c>
      <c r="G1030" s="39">
        <v>0</v>
      </c>
      <c r="H1030" s="39">
        <v>0</v>
      </c>
      <c r="I1030" s="39">
        <v>0</v>
      </c>
      <c r="J1030" s="39">
        <v>0</v>
      </c>
      <c r="K1030" s="95">
        <v>0</v>
      </c>
      <c r="L1030" s="39">
        <v>0</v>
      </c>
      <c r="M1030" s="32">
        <v>1100</v>
      </c>
      <c r="N1030" s="32">
        <v>5237044.34</v>
      </c>
      <c r="O1030" s="32">
        <v>0</v>
      </c>
      <c r="P1030" s="32">
        <v>0</v>
      </c>
      <c r="Q1030" s="32">
        <v>0</v>
      </c>
      <c r="R1030" s="32">
        <v>0</v>
      </c>
      <c r="S1030" s="32">
        <v>0</v>
      </c>
      <c r="T1030" s="32">
        <v>0</v>
      </c>
      <c r="U1030" s="32">
        <v>0</v>
      </c>
      <c r="V1030" s="32">
        <v>0</v>
      </c>
      <c r="W1030" s="32">
        <v>0</v>
      </c>
      <c r="X1030" s="32">
        <v>0</v>
      </c>
      <c r="Y1030" s="32">
        <v>0</v>
      </c>
      <c r="Z1030" s="32">
        <v>0</v>
      </c>
      <c r="AA1030" s="32">
        <v>0</v>
      </c>
      <c r="AB1030" s="32">
        <v>0</v>
      </c>
      <c r="AC1030" s="32">
        <f t="shared" si="471"/>
        <v>78555.67</v>
      </c>
      <c r="AD1030" s="32">
        <v>180000</v>
      </c>
      <c r="AE1030" s="32">
        <v>0</v>
      </c>
      <c r="AF1030" s="35">
        <v>2022</v>
      </c>
      <c r="AG1030" s="35">
        <v>2022</v>
      </c>
      <c r="AH1030" s="36">
        <v>2022</v>
      </c>
      <c r="AT1030" s="21" t="e">
        <f t="shared" si="465"/>
        <v>#N/A</v>
      </c>
    </row>
    <row r="1031" spans="1:46" ht="61.5" x14ac:dyDescent="0.85">
      <c r="B1031" s="25" t="s">
        <v>871</v>
      </c>
      <c r="C1031" s="110"/>
      <c r="D1031" s="32">
        <f>D1032</f>
        <v>4369866.08</v>
      </c>
      <c r="E1031" s="32">
        <f t="shared" ref="E1031:AE1031" si="472">E1032</f>
        <v>0</v>
      </c>
      <c r="F1031" s="32">
        <f t="shared" si="472"/>
        <v>0</v>
      </c>
      <c r="G1031" s="32">
        <f t="shared" si="472"/>
        <v>0</v>
      </c>
      <c r="H1031" s="32">
        <f t="shared" si="472"/>
        <v>0</v>
      </c>
      <c r="I1031" s="32">
        <f t="shared" si="472"/>
        <v>0</v>
      </c>
      <c r="J1031" s="32">
        <f t="shared" si="472"/>
        <v>0</v>
      </c>
      <c r="K1031" s="34">
        <f t="shared" si="472"/>
        <v>0</v>
      </c>
      <c r="L1031" s="32">
        <f t="shared" si="472"/>
        <v>0</v>
      </c>
      <c r="M1031" s="32">
        <f t="shared" si="472"/>
        <v>1203</v>
      </c>
      <c r="N1031" s="32">
        <f t="shared" si="472"/>
        <v>4127946.88</v>
      </c>
      <c r="O1031" s="32">
        <f t="shared" si="472"/>
        <v>0</v>
      </c>
      <c r="P1031" s="32">
        <f t="shared" si="472"/>
        <v>0</v>
      </c>
      <c r="Q1031" s="32">
        <f t="shared" si="472"/>
        <v>0</v>
      </c>
      <c r="R1031" s="32">
        <f t="shared" si="472"/>
        <v>0</v>
      </c>
      <c r="S1031" s="32">
        <f t="shared" si="472"/>
        <v>0</v>
      </c>
      <c r="T1031" s="32">
        <f t="shared" si="472"/>
        <v>0</v>
      </c>
      <c r="U1031" s="32">
        <f t="shared" si="472"/>
        <v>0</v>
      </c>
      <c r="V1031" s="32">
        <f t="shared" si="472"/>
        <v>0</v>
      </c>
      <c r="W1031" s="32">
        <f t="shared" si="472"/>
        <v>0</v>
      </c>
      <c r="X1031" s="32">
        <f t="shared" si="472"/>
        <v>0</v>
      </c>
      <c r="Y1031" s="32">
        <f t="shared" si="472"/>
        <v>0</v>
      </c>
      <c r="Z1031" s="32">
        <f t="shared" si="472"/>
        <v>0</v>
      </c>
      <c r="AA1031" s="32">
        <f t="shared" si="472"/>
        <v>0</v>
      </c>
      <c r="AB1031" s="32">
        <f t="shared" si="472"/>
        <v>0</v>
      </c>
      <c r="AC1031" s="32">
        <f t="shared" si="472"/>
        <v>61919.199999999997</v>
      </c>
      <c r="AD1031" s="32">
        <f t="shared" si="472"/>
        <v>180000</v>
      </c>
      <c r="AE1031" s="32">
        <f t="shared" si="472"/>
        <v>0</v>
      </c>
      <c r="AF1031" s="77" t="s">
        <v>801</v>
      </c>
      <c r="AG1031" s="77" t="s">
        <v>801</v>
      </c>
      <c r="AH1031" s="107" t="s">
        <v>801</v>
      </c>
      <c r="AT1031" s="21" t="e">
        <f t="shared" si="465"/>
        <v>#N/A</v>
      </c>
    </row>
    <row r="1032" spans="1:46" ht="61.5" x14ac:dyDescent="0.85">
      <c r="A1032" s="21">
        <v>1</v>
      </c>
      <c r="B1032" s="70">
        <f>SUBTOTAL(103,$A$896:A1032)</f>
        <v>128</v>
      </c>
      <c r="C1032" s="25" t="s">
        <v>721</v>
      </c>
      <c r="D1032" s="32">
        <f t="shared" ref="D1032" si="473">E1032+F1032+G1032+H1032+I1032+J1032+L1032+N1032+P1032+R1032+T1032+U1032+V1032+W1032+X1032+Y1032+Z1032+AA1032+AB1032+AC1032+AD1032+AE1032</f>
        <v>4369866.08</v>
      </c>
      <c r="E1032" s="32">
        <v>0</v>
      </c>
      <c r="F1032" s="32">
        <v>0</v>
      </c>
      <c r="G1032" s="32">
        <v>0</v>
      </c>
      <c r="H1032" s="32">
        <v>0</v>
      </c>
      <c r="I1032" s="32">
        <v>0</v>
      </c>
      <c r="J1032" s="32">
        <v>0</v>
      </c>
      <c r="K1032" s="34">
        <v>0</v>
      </c>
      <c r="L1032" s="32">
        <v>0</v>
      </c>
      <c r="M1032" s="32">
        <v>1203</v>
      </c>
      <c r="N1032" s="32">
        <v>4127946.88</v>
      </c>
      <c r="O1032" s="32">
        <v>0</v>
      </c>
      <c r="P1032" s="32">
        <v>0</v>
      </c>
      <c r="Q1032" s="32">
        <v>0</v>
      </c>
      <c r="R1032" s="32">
        <v>0</v>
      </c>
      <c r="S1032" s="32">
        <v>0</v>
      </c>
      <c r="T1032" s="32">
        <v>0</v>
      </c>
      <c r="U1032" s="32">
        <v>0</v>
      </c>
      <c r="V1032" s="32">
        <v>0</v>
      </c>
      <c r="W1032" s="32">
        <v>0</v>
      </c>
      <c r="X1032" s="32">
        <v>0</v>
      </c>
      <c r="Y1032" s="32">
        <v>0</v>
      </c>
      <c r="Z1032" s="32">
        <v>0</v>
      </c>
      <c r="AA1032" s="32">
        <v>0</v>
      </c>
      <c r="AB1032" s="32">
        <v>0</v>
      </c>
      <c r="AC1032" s="32">
        <f>ROUND(N1032*1.5%,2)</f>
        <v>61919.199999999997</v>
      </c>
      <c r="AD1032" s="32">
        <v>180000</v>
      </c>
      <c r="AE1032" s="32">
        <v>0</v>
      </c>
      <c r="AF1032" s="35">
        <v>2022</v>
      </c>
      <c r="AG1032" s="35">
        <v>2022</v>
      </c>
      <c r="AH1032" s="36">
        <v>2022</v>
      </c>
      <c r="AT1032" s="21" t="e">
        <f t="shared" si="465"/>
        <v>#N/A</v>
      </c>
    </row>
    <row r="1033" spans="1:46" ht="61.5" x14ac:dyDescent="0.85">
      <c r="B1033" s="25" t="s">
        <v>872</v>
      </c>
      <c r="C1033" s="25"/>
      <c r="D1033" s="32">
        <f>D1034</f>
        <v>2936950.21</v>
      </c>
      <c r="E1033" s="32">
        <f t="shared" ref="E1033:AE1033" si="474">E1034</f>
        <v>0</v>
      </c>
      <c r="F1033" s="32">
        <f t="shared" si="474"/>
        <v>0</v>
      </c>
      <c r="G1033" s="32">
        <f t="shared" si="474"/>
        <v>0</v>
      </c>
      <c r="H1033" s="32">
        <f t="shared" si="474"/>
        <v>0</v>
      </c>
      <c r="I1033" s="32">
        <f t="shared" si="474"/>
        <v>0</v>
      </c>
      <c r="J1033" s="32">
        <f t="shared" si="474"/>
        <v>0</v>
      </c>
      <c r="K1033" s="34">
        <f t="shared" si="474"/>
        <v>0</v>
      </c>
      <c r="L1033" s="32">
        <f t="shared" si="474"/>
        <v>0</v>
      </c>
      <c r="M1033" s="32">
        <f t="shared" si="474"/>
        <v>0</v>
      </c>
      <c r="N1033" s="32">
        <f t="shared" si="474"/>
        <v>0</v>
      </c>
      <c r="O1033" s="32">
        <f t="shared" si="474"/>
        <v>0</v>
      </c>
      <c r="P1033" s="32">
        <f t="shared" si="474"/>
        <v>0</v>
      </c>
      <c r="Q1033" s="32">
        <f t="shared" si="474"/>
        <v>787</v>
      </c>
      <c r="R1033" s="32">
        <f t="shared" si="474"/>
        <v>2765468.19</v>
      </c>
      <c r="S1033" s="32">
        <f t="shared" si="474"/>
        <v>0</v>
      </c>
      <c r="T1033" s="32">
        <f t="shared" si="474"/>
        <v>0</v>
      </c>
      <c r="U1033" s="32">
        <f t="shared" si="474"/>
        <v>0</v>
      </c>
      <c r="V1033" s="32">
        <f t="shared" si="474"/>
        <v>0</v>
      </c>
      <c r="W1033" s="32">
        <f t="shared" si="474"/>
        <v>0</v>
      </c>
      <c r="X1033" s="32">
        <f t="shared" si="474"/>
        <v>0</v>
      </c>
      <c r="Y1033" s="32">
        <f t="shared" si="474"/>
        <v>0</v>
      </c>
      <c r="Z1033" s="32">
        <f t="shared" si="474"/>
        <v>0</v>
      </c>
      <c r="AA1033" s="32">
        <f t="shared" si="474"/>
        <v>0</v>
      </c>
      <c r="AB1033" s="32">
        <f t="shared" si="474"/>
        <v>0</v>
      </c>
      <c r="AC1033" s="32">
        <f t="shared" si="474"/>
        <v>41482.019999999997</v>
      </c>
      <c r="AD1033" s="32">
        <f t="shared" si="474"/>
        <v>130000</v>
      </c>
      <c r="AE1033" s="32">
        <f t="shared" si="474"/>
        <v>0</v>
      </c>
      <c r="AF1033" s="77" t="s">
        <v>801</v>
      </c>
      <c r="AG1033" s="77" t="s">
        <v>801</v>
      </c>
      <c r="AH1033" s="107" t="s">
        <v>801</v>
      </c>
      <c r="AT1033" s="21" t="e">
        <f t="shared" si="465"/>
        <v>#N/A</v>
      </c>
    </row>
    <row r="1034" spans="1:46" ht="61.5" x14ac:dyDescent="0.85">
      <c r="A1034" s="21">
        <v>1</v>
      </c>
      <c r="B1034" s="70">
        <f>SUBTOTAL(103,$A$896:A1034)</f>
        <v>129</v>
      </c>
      <c r="C1034" s="25" t="s">
        <v>737</v>
      </c>
      <c r="D1034" s="32">
        <f t="shared" ref="D1034" si="475">E1034+F1034+G1034+H1034+I1034+J1034+L1034+N1034+P1034+R1034+T1034+U1034+V1034+W1034+X1034+Y1034+Z1034+AA1034+AB1034+AC1034+AD1034+AE1034</f>
        <v>2936950.21</v>
      </c>
      <c r="E1034" s="32">
        <v>0</v>
      </c>
      <c r="F1034" s="32">
        <v>0</v>
      </c>
      <c r="G1034" s="32">
        <v>0</v>
      </c>
      <c r="H1034" s="32">
        <v>0</v>
      </c>
      <c r="I1034" s="32">
        <v>0</v>
      </c>
      <c r="J1034" s="32">
        <v>0</v>
      </c>
      <c r="K1034" s="34">
        <v>0</v>
      </c>
      <c r="L1034" s="32">
        <v>0</v>
      </c>
      <c r="M1034" s="32">
        <v>0</v>
      </c>
      <c r="N1034" s="32">
        <v>0</v>
      </c>
      <c r="O1034" s="32">
        <v>0</v>
      </c>
      <c r="P1034" s="32">
        <v>0</v>
      </c>
      <c r="Q1034" s="32">
        <v>787</v>
      </c>
      <c r="R1034" s="32">
        <v>2765468.19</v>
      </c>
      <c r="S1034" s="32">
        <v>0</v>
      </c>
      <c r="T1034" s="32">
        <v>0</v>
      </c>
      <c r="U1034" s="32">
        <v>0</v>
      </c>
      <c r="V1034" s="32">
        <v>0</v>
      </c>
      <c r="W1034" s="32">
        <v>0</v>
      </c>
      <c r="X1034" s="32">
        <v>0</v>
      </c>
      <c r="Y1034" s="32">
        <v>0</v>
      </c>
      <c r="Z1034" s="32">
        <v>0</v>
      </c>
      <c r="AA1034" s="32">
        <v>0</v>
      </c>
      <c r="AB1034" s="32">
        <v>0</v>
      </c>
      <c r="AC1034" s="32">
        <f t="shared" ref="AC1034" si="476">ROUND(R1034*1.5%,2)</f>
        <v>41482.019999999997</v>
      </c>
      <c r="AD1034" s="32">
        <v>130000</v>
      </c>
      <c r="AE1034" s="32">
        <v>0</v>
      </c>
      <c r="AF1034" s="35">
        <v>2022</v>
      </c>
      <c r="AG1034" s="35">
        <v>2022</v>
      </c>
      <c r="AH1034" s="36">
        <v>2022</v>
      </c>
      <c r="AT1034" s="21" t="e">
        <f t="shared" si="465"/>
        <v>#N/A</v>
      </c>
    </row>
    <row r="1035" spans="1:46" ht="61.5" x14ac:dyDescent="0.85">
      <c r="B1035" s="25" t="s">
        <v>873</v>
      </c>
      <c r="C1035" s="25"/>
      <c r="D1035" s="32">
        <f>D1036+D1037</f>
        <v>2773728.46</v>
      </c>
      <c r="E1035" s="32">
        <f t="shared" ref="E1035:AE1035" si="477">E1036+E1037</f>
        <v>0</v>
      </c>
      <c r="F1035" s="32">
        <f t="shared" si="477"/>
        <v>0</v>
      </c>
      <c r="G1035" s="32">
        <f t="shared" si="477"/>
        <v>0</v>
      </c>
      <c r="H1035" s="32">
        <f t="shared" si="477"/>
        <v>0</v>
      </c>
      <c r="I1035" s="32">
        <f t="shared" si="477"/>
        <v>191760.14</v>
      </c>
      <c r="J1035" s="32">
        <f t="shared" si="477"/>
        <v>0</v>
      </c>
      <c r="K1035" s="34">
        <f t="shared" si="477"/>
        <v>0</v>
      </c>
      <c r="L1035" s="32">
        <f t="shared" si="477"/>
        <v>0</v>
      </c>
      <c r="M1035" s="32">
        <f t="shared" si="477"/>
        <v>628</v>
      </c>
      <c r="N1035" s="32">
        <f t="shared" si="477"/>
        <v>2353785.14</v>
      </c>
      <c r="O1035" s="32">
        <f t="shared" si="477"/>
        <v>0</v>
      </c>
      <c r="P1035" s="32">
        <f t="shared" si="477"/>
        <v>0</v>
      </c>
      <c r="Q1035" s="32">
        <f t="shared" si="477"/>
        <v>0</v>
      </c>
      <c r="R1035" s="32">
        <f t="shared" si="477"/>
        <v>0</v>
      </c>
      <c r="S1035" s="32">
        <f t="shared" si="477"/>
        <v>0</v>
      </c>
      <c r="T1035" s="32">
        <f t="shared" si="477"/>
        <v>0</v>
      </c>
      <c r="U1035" s="32">
        <f t="shared" si="477"/>
        <v>0</v>
      </c>
      <c r="V1035" s="32">
        <f t="shared" si="477"/>
        <v>0</v>
      </c>
      <c r="W1035" s="32">
        <f t="shared" si="477"/>
        <v>0</v>
      </c>
      <c r="X1035" s="32">
        <f t="shared" si="477"/>
        <v>0</v>
      </c>
      <c r="Y1035" s="32">
        <f t="shared" si="477"/>
        <v>0</v>
      </c>
      <c r="Z1035" s="32">
        <f t="shared" si="477"/>
        <v>0</v>
      </c>
      <c r="AA1035" s="32">
        <f t="shared" si="477"/>
        <v>0</v>
      </c>
      <c r="AB1035" s="32">
        <f t="shared" si="477"/>
        <v>0</v>
      </c>
      <c r="AC1035" s="32">
        <f t="shared" si="477"/>
        <v>38183.18</v>
      </c>
      <c r="AD1035" s="32">
        <f t="shared" si="477"/>
        <v>190000</v>
      </c>
      <c r="AE1035" s="32">
        <f t="shared" si="477"/>
        <v>0</v>
      </c>
      <c r="AF1035" s="77" t="s">
        <v>801</v>
      </c>
      <c r="AG1035" s="77" t="s">
        <v>801</v>
      </c>
      <c r="AH1035" s="107" t="s">
        <v>801</v>
      </c>
      <c r="AT1035" s="21" t="e">
        <f t="shared" si="465"/>
        <v>#N/A</v>
      </c>
    </row>
    <row r="1036" spans="1:46" ht="61.5" x14ac:dyDescent="0.85">
      <c r="A1036" s="21">
        <v>1</v>
      </c>
      <c r="B1036" s="70">
        <f>SUBTOTAL(103,$A$896:A1036)</f>
        <v>130</v>
      </c>
      <c r="C1036" s="25" t="s">
        <v>728</v>
      </c>
      <c r="D1036" s="32">
        <f t="shared" ref="D1036:D1037" si="478">E1036+F1036+G1036+H1036+I1036+J1036+L1036+N1036+P1036+R1036+T1036+U1036+V1036+W1036+X1036+Y1036+Z1036+AA1036+AB1036+AC1036+AD1036+AE1036</f>
        <v>2539091.92</v>
      </c>
      <c r="E1036" s="32">
        <v>0</v>
      </c>
      <c r="F1036" s="32">
        <v>0</v>
      </c>
      <c r="G1036" s="32">
        <v>0</v>
      </c>
      <c r="H1036" s="32">
        <v>0</v>
      </c>
      <c r="I1036" s="32">
        <v>0</v>
      </c>
      <c r="J1036" s="32">
        <v>0</v>
      </c>
      <c r="K1036" s="34">
        <v>0</v>
      </c>
      <c r="L1036" s="32">
        <v>0</v>
      </c>
      <c r="M1036" s="32">
        <v>628</v>
      </c>
      <c r="N1036" s="32">
        <v>2353785.14</v>
      </c>
      <c r="O1036" s="32">
        <v>0</v>
      </c>
      <c r="P1036" s="32">
        <v>0</v>
      </c>
      <c r="Q1036" s="32">
        <v>0</v>
      </c>
      <c r="R1036" s="32">
        <v>0</v>
      </c>
      <c r="S1036" s="32">
        <v>0</v>
      </c>
      <c r="T1036" s="32">
        <v>0</v>
      </c>
      <c r="U1036" s="32">
        <v>0</v>
      </c>
      <c r="V1036" s="32">
        <v>0</v>
      </c>
      <c r="W1036" s="32">
        <v>0</v>
      </c>
      <c r="X1036" s="32">
        <v>0</v>
      </c>
      <c r="Y1036" s="32">
        <v>0</v>
      </c>
      <c r="Z1036" s="32">
        <v>0</v>
      </c>
      <c r="AA1036" s="32">
        <v>0</v>
      </c>
      <c r="AB1036" s="32">
        <v>0</v>
      </c>
      <c r="AC1036" s="32">
        <f>ROUND(N1036*1.5%,2)</f>
        <v>35306.78</v>
      </c>
      <c r="AD1036" s="32">
        <v>150000</v>
      </c>
      <c r="AE1036" s="32">
        <v>0</v>
      </c>
      <c r="AF1036" s="35">
        <v>2022</v>
      </c>
      <c r="AG1036" s="35">
        <v>2022</v>
      </c>
      <c r="AH1036" s="36">
        <v>2022</v>
      </c>
      <c r="AT1036" s="21" t="e">
        <f t="shared" si="465"/>
        <v>#N/A</v>
      </c>
    </row>
    <row r="1037" spans="1:46" ht="61.5" x14ac:dyDescent="0.85">
      <c r="A1037" s="21">
        <v>1</v>
      </c>
      <c r="B1037" s="70">
        <f>SUBTOTAL(103,$A$896:A1037)</f>
        <v>131</v>
      </c>
      <c r="C1037" s="25" t="s">
        <v>740</v>
      </c>
      <c r="D1037" s="32">
        <f t="shared" si="478"/>
        <v>234636.54</v>
      </c>
      <c r="E1037" s="32">
        <v>0</v>
      </c>
      <c r="F1037" s="32">
        <v>0</v>
      </c>
      <c r="G1037" s="32">
        <v>0</v>
      </c>
      <c r="H1037" s="32">
        <v>0</v>
      </c>
      <c r="I1037" s="32">
        <v>191760.14</v>
      </c>
      <c r="J1037" s="32">
        <v>0</v>
      </c>
      <c r="K1037" s="34">
        <v>0</v>
      </c>
      <c r="L1037" s="32">
        <v>0</v>
      </c>
      <c r="M1037" s="32">
        <v>0</v>
      </c>
      <c r="N1037" s="32">
        <v>0</v>
      </c>
      <c r="O1037" s="32">
        <v>0</v>
      </c>
      <c r="P1037" s="32">
        <v>0</v>
      </c>
      <c r="Q1037" s="32">
        <v>0</v>
      </c>
      <c r="R1037" s="32">
        <v>0</v>
      </c>
      <c r="S1037" s="32">
        <v>0</v>
      </c>
      <c r="T1037" s="32">
        <v>0</v>
      </c>
      <c r="U1037" s="32">
        <v>0</v>
      </c>
      <c r="V1037" s="32">
        <v>0</v>
      </c>
      <c r="W1037" s="32">
        <v>0</v>
      </c>
      <c r="X1037" s="32">
        <v>0</v>
      </c>
      <c r="Y1037" s="32">
        <v>0</v>
      </c>
      <c r="Z1037" s="32">
        <v>0</v>
      </c>
      <c r="AA1037" s="32">
        <v>0</v>
      </c>
      <c r="AB1037" s="32">
        <v>0</v>
      </c>
      <c r="AC1037" s="32">
        <f t="shared" ref="AC1037" si="479">ROUND((E1037+F1037+G1037+H1037+I1037+J1037)*1.5%,2)</f>
        <v>2876.4</v>
      </c>
      <c r="AD1037" s="32">
        <v>40000</v>
      </c>
      <c r="AE1037" s="32">
        <v>0</v>
      </c>
      <c r="AF1037" s="35">
        <v>2022</v>
      </c>
      <c r="AG1037" s="35">
        <v>2022</v>
      </c>
      <c r="AH1037" s="36">
        <v>2022</v>
      </c>
      <c r="AT1037" s="21" t="e">
        <f t="shared" si="465"/>
        <v>#N/A</v>
      </c>
    </row>
    <row r="1038" spans="1:46" ht="61.5" x14ac:dyDescent="0.85">
      <c r="B1038" s="25" t="s">
        <v>937</v>
      </c>
      <c r="C1038" s="25"/>
      <c r="D1038" s="32">
        <f>D1039</f>
        <v>2158336.3499999996</v>
      </c>
      <c r="E1038" s="32">
        <f t="shared" ref="E1038:AE1038" si="480">E1039</f>
        <v>0</v>
      </c>
      <c r="F1038" s="32">
        <f t="shared" si="480"/>
        <v>0</v>
      </c>
      <c r="G1038" s="32">
        <f t="shared" si="480"/>
        <v>0</v>
      </c>
      <c r="H1038" s="32">
        <f t="shared" si="480"/>
        <v>0</v>
      </c>
      <c r="I1038" s="32">
        <f t="shared" si="480"/>
        <v>0</v>
      </c>
      <c r="J1038" s="32">
        <f t="shared" si="480"/>
        <v>0</v>
      </c>
      <c r="K1038" s="34">
        <f t="shared" si="480"/>
        <v>0</v>
      </c>
      <c r="L1038" s="32">
        <f t="shared" si="480"/>
        <v>0</v>
      </c>
      <c r="M1038" s="32">
        <f t="shared" si="480"/>
        <v>393</v>
      </c>
      <c r="N1038" s="32">
        <f t="shared" si="480"/>
        <v>2008213.15</v>
      </c>
      <c r="O1038" s="32">
        <f t="shared" si="480"/>
        <v>0</v>
      </c>
      <c r="P1038" s="32">
        <f t="shared" si="480"/>
        <v>0</v>
      </c>
      <c r="Q1038" s="32">
        <f t="shared" si="480"/>
        <v>0</v>
      </c>
      <c r="R1038" s="32">
        <f t="shared" si="480"/>
        <v>0</v>
      </c>
      <c r="S1038" s="32">
        <f t="shared" si="480"/>
        <v>0</v>
      </c>
      <c r="T1038" s="32">
        <f t="shared" si="480"/>
        <v>0</v>
      </c>
      <c r="U1038" s="32">
        <f t="shared" si="480"/>
        <v>0</v>
      </c>
      <c r="V1038" s="32">
        <f t="shared" si="480"/>
        <v>0</v>
      </c>
      <c r="W1038" s="32">
        <f t="shared" si="480"/>
        <v>0</v>
      </c>
      <c r="X1038" s="32">
        <f t="shared" si="480"/>
        <v>0</v>
      </c>
      <c r="Y1038" s="32">
        <f t="shared" si="480"/>
        <v>0</v>
      </c>
      <c r="Z1038" s="32">
        <f t="shared" si="480"/>
        <v>0</v>
      </c>
      <c r="AA1038" s="32">
        <f t="shared" si="480"/>
        <v>0</v>
      </c>
      <c r="AB1038" s="32">
        <f t="shared" si="480"/>
        <v>0</v>
      </c>
      <c r="AC1038" s="32">
        <f t="shared" si="480"/>
        <v>30123.200000000001</v>
      </c>
      <c r="AD1038" s="32">
        <f t="shared" si="480"/>
        <v>120000</v>
      </c>
      <c r="AE1038" s="32">
        <f t="shared" si="480"/>
        <v>0</v>
      </c>
      <c r="AF1038" s="77" t="s">
        <v>801</v>
      </c>
      <c r="AG1038" s="77" t="s">
        <v>801</v>
      </c>
      <c r="AH1038" s="107" t="s">
        <v>801</v>
      </c>
      <c r="AT1038" s="21" t="e">
        <f t="shared" si="465"/>
        <v>#N/A</v>
      </c>
    </row>
    <row r="1039" spans="1:46" ht="61.5" x14ac:dyDescent="0.85">
      <c r="A1039" s="21">
        <v>1</v>
      </c>
      <c r="B1039" s="70">
        <f>SUBTOTAL(103,$A$896:A1039)</f>
        <v>132</v>
      </c>
      <c r="C1039" s="25" t="s">
        <v>720</v>
      </c>
      <c r="D1039" s="32">
        <f t="shared" ref="D1039" si="481">E1039+F1039+G1039+H1039+I1039+J1039+L1039+N1039+P1039+R1039+T1039+U1039+V1039+W1039+X1039+Y1039+Z1039+AA1039+AB1039+AC1039+AD1039+AE1039</f>
        <v>2158336.3499999996</v>
      </c>
      <c r="E1039" s="32">
        <v>0</v>
      </c>
      <c r="F1039" s="32">
        <v>0</v>
      </c>
      <c r="G1039" s="32">
        <v>0</v>
      </c>
      <c r="H1039" s="32">
        <v>0</v>
      </c>
      <c r="I1039" s="32">
        <v>0</v>
      </c>
      <c r="J1039" s="32">
        <v>0</v>
      </c>
      <c r="K1039" s="34">
        <v>0</v>
      </c>
      <c r="L1039" s="32">
        <v>0</v>
      </c>
      <c r="M1039" s="32">
        <v>393</v>
      </c>
      <c r="N1039" s="32">
        <v>2008213.15</v>
      </c>
      <c r="O1039" s="32">
        <v>0</v>
      </c>
      <c r="P1039" s="32">
        <v>0</v>
      </c>
      <c r="Q1039" s="32">
        <v>0</v>
      </c>
      <c r="R1039" s="32">
        <v>0</v>
      </c>
      <c r="S1039" s="32">
        <v>0</v>
      </c>
      <c r="T1039" s="32">
        <v>0</v>
      </c>
      <c r="U1039" s="32">
        <v>0</v>
      </c>
      <c r="V1039" s="32">
        <v>0</v>
      </c>
      <c r="W1039" s="32">
        <v>0</v>
      </c>
      <c r="X1039" s="32">
        <v>0</v>
      </c>
      <c r="Y1039" s="32">
        <v>0</v>
      </c>
      <c r="Z1039" s="32">
        <v>0</v>
      </c>
      <c r="AA1039" s="32">
        <v>0</v>
      </c>
      <c r="AB1039" s="32">
        <v>0</v>
      </c>
      <c r="AC1039" s="32">
        <f>ROUND(N1039*1.5%,2)</f>
        <v>30123.200000000001</v>
      </c>
      <c r="AD1039" s="32">
        <v>120000</v>
      </c>
      <c r="AE1039" s="32">
        <v>0</v>
      </c>
      <c r="AF1039" s="35">
        <v>2022</v>
      </c>
      <c r="AG1039" s="35">
        <v>2022</v>
      </c>
      <c r="AH1039" s="36">
        <v>2022</v>
      </c>
      <c r="AT1039" s="21" t="e">
        <f t="shared" si="465"/>
        <v>#N/A</v>
      </c>
    </row>
    <row r="1040" spans="1:46" ht="61.5" x14ac:dyDescent="0.85">
      <c r="B1040" s="25" t="s">
        <v>874</v>
      </c>
      <c r="C1040" s="25"/>
      <c r="D1040" s="32">
        <f>D1041</f>
        <v>2000000</v>
      </c>
      <c r="E1040" s="32">
        <f t="shared" ref="E1040:AE1040" si="482">E1041</f>
        <v>0</v>
      </c>
      <c r="F1040" s="32">
        <f t="shared" si="482"/>
        <v>0</v>
      </c>
      <c r="G1040" s="32">
        <f t="shared" si="482"/>
        <v>0</v>
      </c>
      <c r="H1040" s="32">
        <f t="shared" si="482"/>
        <v>0</v>
      </c>
      <c r="I1040" s="32">
        <f t="shared" si="482"/>
        <v>0</v>
      </c>
      <c r="J1040" s="32">
        <f t="shared" si="482"/>
        <v>0</v>
      </c>
      <c r="K1040" s="34">
        <f t="shared" si="482"/>
        <v>0</v>
      </c>
      <c r="L1040" s="32">
        <f t="shared" si="482"/>
        <v>0</v>
      </c>
      <c r="M1040" s="32">
        <f t="shared" si="482"/>
        <v>0</v>
      </c>
      <c r="N1040" s="32">
        <f t="shared" si="482"/>
        <v>0</v>
      </c>
      <c r="O1040" s="32">
        <f t="shared" si="482"/>
        <v>0</v>
      </c>
      <c r="P1040" s="32">
        <f t="shared" si="482"/>
        <v>0</v>
      </c>
      <c r="Q1040" s="32">
        <f t="shared" si="482"/>
        <v>700.14</v>
      </c>
      <c r="R1040" s="32">
        <f t="shared" si="482"/>
        <v>1842364.53</v>
      </c>
      <c r="S1040" s="32">
        <f t="shared" si="482"/>
        <v>0</v>
      </c>
      <c r="T1040" s="32">
        <f t="shared" si="482"/>
        <v>0</v>
      </c>
      <c r="U1040" s="32">
        <f t="shared" si="482"/>
        <v>0</v>
      </c>
      <c r="V1040" s="32">
        <f t="shared" si="482"/>
        <v>0</v>
      </c>
      <c r="W1040" s="32">
        <f t="shared" si="482"/>
        <v>0</v>
      </c>
      <c r="X1040" s="32">
        <f t="shared" si="482"/>
        <v>0</v>
      </c>
      <c r="Y1040" s="32">
        <f t="shared" si="482"/>
        <v>0</v>
      </c>
      <c r="Z1040" s="32">
        <f t="shared" si="482"/>
        <v>0</v>
      </c>
      <c r="AA1040" s="32">
        <f t="shared" si="482"/>
        <v>0</v>
      </c>
      <c r="AB1040" s="32">
        <f t="shared" si="482"/>
        <v>0</v>
      </c>
      <c r="AC1040" s="32">
        <f t="shared" si="482"/>
        <v>27635.47</v>
      </c>
      <c r="AD1040" s="32">
        <f t="shared" si="482"/>
        <v>130000</v>
      </c>
      <c r="AE1040" s="32">
        <f t="shared" si="482"/>
        <v>0</v>
      </c>
      <c r="AF1040" s="77" t="s">
        <v>801</v>
      </c>
      <c r="AG1040" s="77" t="s">
        <v>801</v>
      </c>
      <c r="AH1040" s="107" t="s">
        <v>801</v>
      </c>
      <c r="AT1040" s="21" t="e">
        <f t="shared" si="465"/>
        <v>#N/A</v>
      </c>
    </row>
    <row r="1041" spans="1:46" ht="61.5" x14ac:dyDescent="0.85">
      <c r="A1041" s="21">
        <v>1</v>
      </c>
      <c r="B1041" s="70">
        <f>SUBTOTAL(103,$A$896:A1041)</f>
        <v>133</v>
      </c>
      <c r="C1041" s="25" t="s">
        <v>726</v>
      </c>
      <c r="D1041" s="32">
        <f t="shared" ref="D1041" si="483">E1041+F1041+G1041+H1041+I1041+J1041+L1041+N1041+P1041+R1041+T1041+U1041+V1041+W1041+X1041+Y1041+Z1041+AA1041+AB1041+AC1041+AD1041+AE1041</f>
        <v>2000000</v>
      </c>
      <c r="E1041" s="32">
        <v>0</v>
      </c>
      <c r="F1041" s="32">
        <v>0</v>
      </c>
      <c r="G1041" s="32">
        <v>0</v>
      </c>
      <c r="H1041" s="32">
        <v>0</v>
      </c>
      <c r="I1041" s="32">
        <v>0</v>
      </c>
      <c r="J1041" s="32">
        <v>0</v>
      </c>
      <c r="K1041" s="34">
        <v>0</v>
      </c>
      <c r="L1041" s="32">
        <v>0</v>
      </c>
      <c r="M1041" s="32">
        <v>0</v>
      </c>
      <c r="N1041" s="32">
        <v>0</v>
      </c>
      <c r="O1041" s="32">
        <v>0</v>
      </c>
      <c r="P1041" s="32">
        <v>0</v>
      </c>
      <c r="Q1041" s="32">
        <v>700.14</v>
      </c>
      <c r="R1041" s="32">
        <v>1842364.53</v>
      </c>
      <c r="S1041" s="32">
        <v>0</v>
      </c>
      <c r="T1041" s="32">
        <v>0</v>
      </c>
      <c r="U1041" s="32">
        <v>0</v>
      </c>
      <c r="V1041" s="32">
        <v>0</v>
      </c>
      <c r="W1041" s="32">
        <v>0</v>
      </c>
      <c r="X1041" s="32">
        <v>0</v>
      </c>
      <c r="Y1041" s="32">
        <v>0</v>
      </c>
      <c r="Z1041" s="32">
        <v>0</v>
      </c>
      <c r="AA1041" s="32">
        <v>0</v>
      </c>
      <c r="AB1041" s="32">
        <v>0</v>
      </c>
      <c r="AC1041" s="32">
        <f t="shared" ref="AC1041" si="484">ROUND(R1041*1.5%,2)</f>
        <v>27635.47</v>
      </c>
      <c r="AD1041" s="32">
        <v>130000</v>
      </c>
      <c r="AE1041" s="32">
        <v>0</v>
      </c>
      <c r="AF1041" s="35">
        <v>2022</v>
      </c>
      <c r="AG1041" s="35">
        <v>2022</v>
      </c>
      <c r="AH1041" s="36">
        <v>2022</v>
      </c>
      <c r="AT1041" s="21" t="e">
        <f t="shared" si="465"/>
        <v>#N/A</v>
      </c>
    </row>
    <row r="1042" spans="1:46" ht="61.5" x14ac:dyDescent="0.85">
      <c r="B1042" s="25" t="s">
        <v>875</v>
      </c>
      <c r="C1042" s="25"/>
      <c r="D1042" s="32">
        <f>SUM(D1043:D1049)</f>
        <v>23342011.919999998</v>
      </c>
      <c r="E1042" s="32">
        <f t="shared" ref="E1042:AE1042" si="485">SUM(E1043:E1049)</f>
        <v>0</v>
      </c>
      <c r="F1042" s="32">
        <f t="shared" si="485"/>
        <v>0</v>
      </c>
      <c r="G1042" s="32">
        <f t="shared" si="485"/>
        <v>0</v>
      </c>
      <c r="H1042" s="32">
        <f t="shared" si="485"/>
        <v>0</v>
      </c>
      <c r="I1042" s="32">
        <f t="shared" si="485"/>
        <v>0</v>
      </c>
      <c r="J1042" s="32">
        <f t="shared" si="485"/>
        <v>0</v>
      </c>
      <c r="K1042" s="34">
        <f t="shared" si="485"/>
        <v>2</v>
      </c>
      <c r="L1042" s="32">
        <f t="shared" si="485"/>
        <v>4396606</v>
      </c>
      <c r="M1042" s="32">
        <f t="shared" si="485"/>
        <v>3160.6</v>
      </c>
      <c r="N1042" s="32">
        <f t="shared" si="485"/>
        <v>14844392.530000001</v>
      </c>
      <c r="O1042" s="32">
        <f t="shared" si="485"/>
        <v>0</v>
      </c>
      <c r="P1042" s="32">
        <f t="shared" si="485"/>
        <v>0</v>
      </c>
      <c r="Q1042" s="32">
        <f t="shared" si="485"/>
        <v>585.5</v>
      </c>
      <c r="R1042" s="32">
        <f t="shared" si="485"/>
        <v>2766844.83</v>
      </c>
      <c r="S1042" s="32">
        <f t="shared" si="485"/>
        <v>0</v>
      </c>
      <c r="T1042" s="32">
        <f t="shared" si="485"/>
        <v>0</v>
      </c>
      <c r="U1042" s="32">
        <f t="shared" si="485"/>
        <v>0</v>
      </c>
      <c r="V1042" s="32">
        <f t="shared" si="485"/>
        <v>0</v>
      </c>
      <c r="W1042" s="32">
        <f t="shared" si="485"/>
        <v>0</v>
      </c>
      <c r="X1042" s="32">
        <f t="shared" si="485"/>
        <v>0</v>
      </c>
      <c r="Y1042" s="32">
        <f t="shared" si="485"/>
        <v>0</v>
      </c>
      <c r="Z1042" s="32">
        <f t="shared" si="485"/>
        <v>0</v>
      </c>
      <c r="AA1042" s="32">
        <f t="shared" si="485"/>
        <v>0</v>
      </c>
      <c r="AB1042" s="32">
        <f t="shared" si="485"/>
        <v>0</v>
      </c>
      <c r="AC1042" s="32">
        <f t="shared" si="485"/>
        <v>264168.56</v>
      </c>
      <c r="AD1042" s="32">
        <f t="shared" si="485"/>
        <v>950000</v>
      </c>
      <c r="AE1042" s="32">
        <f t="shared" si="485"/>
        <v>120000</v>
      </c>
      <c r="AF1042" s="77" t="s">
        <v>801</v>
      </c>
      <c r="AG1042" s="77" t="s">
        <v>801</v>
      </c>
      <c r="AH1042" s="107" t="s">
        <v>801</v>
      </c>
      <c r="AT1042" s="21" t="e">
        <f t="shared" si="465"/>
        <v>#N/A</v>
      </c>
    </row>
    <row r="1043" spans="1:46" ht="61.5" x14ac:dyDescent="0.85">
      <c r="A1043" s="21">
        <v>1</v>
      </c>
      <c r="B1043" s="70">
        <f>SUBTOTAL(103,$A$896:A1043)</f>
        <v>134</v>
      </c>
      <c r="C1043" s="25" t="s">
        <v>707</v>
      </c>
      <c r="D1043" s="32">
        <f t="shared" ref="D1043:D1049" si="486">E1043+F1043+G1043+H1043+I1043+J1043+L1043+N1043+P1043+R1043+T1043+U1043+V1043+W1043+X1043+Y1043+Z1043+AA1043+AB1043+AC1043+AD1043+AE1043</f>
        <v>1358190.18</v>
      </c>
      <c r="E1043" s="32">
        <v>0</v>
      </c>
      <c r="F1043" s="32">
        <v>0</v>
      </c>
      <c r="G1043" s="32">
        <v>0</v>
      </c>
      <c r="H1043" s="32">
        <v>0</v>
      </c>
      <c r="I1043" s="32">
        <v>0</v>
      </c>
      <c r="J1043" s="32">
        <v>0</v>
      </c>
      <c r="K1043" s="34">
        <v>0</v>
      </c>
      <c r="L1043" s="32">
        <v>0</v>
      </c>
      <c r="M1043" s="32">
        <v>260.10000000000002</v>
      </c>
      <c r="N1043" s="32">
        <v>1219891.8</v>
      </c>
      <c r="O1043" s="32">
        <v>0</v>
      </c>
      <c r="P1043" s="32">
        <v>0</v>
      </c>
      <c r="Q1043" s="32">
        <v>0</v>
      </c>
      <c r="R1043" s="32">
        <v>0</v>
      </c>
      <c r="S1043" s="32">
        <v>0</v>
      </c>
      <c r="T1043" s="32">
        <v>0</v>
      </c>
      <c r="U1043" s="32">
        <v>0</v>
      </c>
      <c r="V1043" s="32">
        <v>0</v>
      </c>
      <c r="W1043" s="32">
        <v>0</v>
      </c>
      <c r="X1043" s="32">
        <v>0</v>
      </c>
      <c r="Y1043" s="32">
        <v>0</v>
      </c>
      <c r="Z1043" s="32">
        <v>0</v>
      </c>
      <c r="AA1043" s="32">
        <v>0</v>
      </c>
      <c r="AB1043" s="32">
        <v>0</v>
      </c>
      <c r="AC1043" s="32">
        <f t="shared" ref="AC1043:AC1045" si="487">ROUND(N1043*1.5%,2)</f>
        <v>18298.38</v>
      </c>
      <c r="AD1043" s="32">
        <v>120000</v>
      </c>
      <c r="AE1043" s="32">
        <v>0</v>
      </c>
      <c r="AF1043" s="35">
        <v>2022</v>
      </c>
      <c r="AG1043" s="35">
        <v>2022</v>
      </c>
      <c r="AH1043" s="36">
        <v>2022</v>
      </c>
      <c r="AT1043" s="21" t="e">
        <f t="shared" si="465"/>
        <v>#N/A</v>
      </c>
    </row>
    <row r="1044" spans="1:46" ht="61.5" x14ac:dyDescent="0.85">
      <c r="A1044" s="21">
        <v>1</v>
      </c>
      <c r="B1044" s="70">
        <f>SUBTOTAL(103,$A$896:A1044)</f>
        <v>135</v>
      </c>
      <c r="C1044" s="25" t="s">
        <v>708</v>
      </c>
      <c r="D1044" s="32">
        <f t="shared" si="486"/>
        <v>3973325</v>
      </c>
      <c r="E1044" s="32">
        <v>0</v>
      </c>
      <c r="F1044" s="32">
        <v>0</v>
      </c>
      <c r="G1044" s="32">
        <v>0</v>
      </c>
      <c r="H1044" s="32">
        <v>0</v>
      </c>
      <c r="I1044" s="32">
        <v>0</v>
      </c>
      <c r="J1044" s="32">
        <v>0</v>
      </c>
      <c r="K1044" s="34">
        <v>0</v>
      </c>
      <c r="L1044" s="32">
        <v>0</v>
      </c>
      <c r="M1044" s="32">
        <v>850</v>
      </c>
      <c r="N1044" s="32">
        <v>3766822.66</v>
      </c>
      <c r="O1044" s="32">
        <v>0</v>
      </c>
      <c r="P1044" s="32">
        <v>0</v>
      </c>
      <c r="Q1044" s="32">
        <v>0</v>
      </c>
      <c r="R1044" s="32">
        <v>0</v>
      </c>
      <c r="S1044" s="32">
        <v>0</v>
      </c>
      <c r="T1044" s="32">
        <v>0</v>
      </c>
      <c r="U1044" s="32">
        <v>0</v>
      </c>
      <c r="V1044" s="32">
        <v>0</v>
      </c>
      <c r="W1044" s="32">
        <v>0</v>
      </c>
      <c r="X1044" s="32">
        <v>0</v>
      </c>
      <c r="Y1044" s="32">
        <v>0</v>
      </c>
      <c r="Z1044" s="32">
        <v>0</v>
      </c>
      <c r="AA1044" s="32">
        <v>0</v>
      </c>
      <c r="AB1044" s="32">
        <v>0</v>
      </c>
      <c r="AC1044" s="32">
        <f t="shared" si="487"/>
        <v>56502.34</v>
      </c>
      <c r="AD1044" s="32">
        <v>150000</v>
      </c>
      <c r="AE1044" s="32">
        <v>0</v>
      </c>
      <c r="AF1044" s="35">
        <v>2022</v>
      </c>
      <c r="AG1044" s="35">
        <v>2022</v>
      </c>
      <c r="AH1044" s="36">
        <v>2022</v>
      </c>
      <c r="AT1044" s="21" t="e">
        <f t="shared" si="465"/>
        <v>#N/A</v>
      </c>
    </row>
    <row r="1045" spans="1:46" ht="61.5" x14ac:dyDescent="0.85">
      <c r="A1045" s="21">
        <v>1</v>
      </c>
      <c r="B1045" s="70">
        <f>SUBTOTAL(103,$A$896:A1045)</f>
        <v>136</v>
      </c>
      <c r="C1045" s="25" t="s">
        <v>733</v>
      </c>
      <c r="D1045" s="32">
        <f t="shared" si="486"/>
        <v>2687908</v>
      </c>
      <c r="E1045" s="32">
        <v>0</v>
      </c>
      <c r="F1045" s="32">
        <v>0</v>
      </c>
      <c r="G1045" s="32">
        <v>0</v>
      </c>
      <c r="H1045" s="32">
        <v>0</v>
      </c>
      <c r="I1045" s="32">
        <v>0</v>
      </c>
      <c r="J1045" s="32">
        <v>0</v>
      </c>
      <c r="K1045" s="34">
        <v>0</v>
      </c>
      <c r="L1045" s="32">
        <v>0</v>
      </c>
      <c r="M1045" s="32">
        <v>550.5</v>
      </c>
      <c r="N1045" s="32">
        <v>2500401.9700000002</v>
      </c>
      <c r="O1045" s="32">
        <v>0</v>
      </c>
      <c r="P1045" s="32">
        <v>0</v>
      </c>
      <c r="Q1045" s="32">
        <v>0</v>
      </c>
      <c r="R1045" s="32">
        <v>0</v>
      </c>
      <c r="S1045" s="32">
        <v>0</v>
      </c>
      <c r="T1045" s="32">
        <v>0</v>
      </c>
      <c r="U1045" s="32">
        <v>0</v>
      </c>
      <c r="V1045" s="32">
        <v>0</v>
      </c>
      <c r="W1045" s="32">
        <v>0</v>
      </c>
      <c r="X1045" s="32">
        <v>0</v>
      </c>
      <c r="Y1045" s="32">
        <v>0</v>
      </c>
      <c r="Z1045" s="32">
        <v>0</v>
      </c>
      <c r="AA1045" s="32">
        <v>0</v>
      </c>
      <c r="AB1045" s="32">
        <v>0</v>
      </c>
      <c r="AC1045" s="32">
        <f t="shared" si="487"/>
        <v>37506.03</v>
      </c>
      <c r="AD1045" s="32">
        <v>150000</v>
      </c>
      <c r="AE1045" s="32">
        <v>0</v>
      </c>
      <c r="AF1045" s="35">
        <v>2022</v>
      </c>
      <c r="AG1045" s="35">
        <v>2022</v>
      </c>
      <c r="AH1045" s="36">
        <v>2022</v>
      </c>
      <c r="AT1045" s="21" t="e">
        <f t="shared" si="465"/>
        <v>#N/A</v>
      </c>
    </row>
    <row r="1046" spans="1:46" ht="61.5" x14ac:dyDescent="0.85">
      <c r="A1046" s="21">
        <v>1</v>
      </c>
      <c r="B1046" s="70">
        <f>SUBTOTAL(103,$A$896:A1046)</f>
        <v>137</v>
      </c>
      <c r="C1046" s="25" t="s">
        <v>717</v>
      </c>
      <c r="D1046" s="32">
        <f t="shared" si="486"/>
        <v>3058347.5</v>
      </c>
      <c r="E1046" s="32">
        <v>0</v>
      </c>
      <c r="F1046" s="32">
        <v>0</v>
      </c>
      <c r="G1046" s="32">
        <v>0</v>
      </c>
      <c r="H1046" s="32">
        <v>0</v>
      </c>
      <c r="I1046" s="32">
        <v>0</v>
      </c>
      <c r="J1046" s="32">
        <v>0</v>
      </c>
      <c r="K1046" s="34">
        <v>0</v>
      </c>
      <c r="L1046" s="32">
        <v>0</v>
      </c>
      <c r="M1046" s="32">
        <v>0</v>
      </c>
      <c r="N1046" s="32">
        <v>0</v>
      </c>
      <c r="O1046" s="32">
        <v>0</v>
      </c>
      <c r="P1046" s="32">
        <v>0</v>
      </c>
      <c r="Q1046" s="32">
        <v>585.5</v>
      </c>
      <c r="R1046" s="32">
        <f>2885071.43-118226.6</f>
        <v>2766844.83</v>
      </c>
      <c r="S1046" s="32">
        <v>0</v>
      </c>
      <c r="T1046" s="32">
        <v>0</v>
      </c>
      <c r="U1046" s="32">
        <v>0</v>
      </c>
      <c r="V1046" s="32">
        <v>0</v>
      </c>
      <c r="W1046" s="32">
        <v>0</v>
      </c>
      <c r="X1046" s="32">
        <v>0</v>
      </c>
      <c r="Y1046" s="32">
        <v>0</v>
      </c>
      <c r="Z1046" s="32">
        <v>0</v>
      </c>
      <c r="AA1046" s="32">
        <v>0</v>
      </c>
      <c r="AB1046" s="32">
        <v>0</v>
      </c>
      <c r="AC1046" s="32">
        <f t="shared" ref="AC1046" si="488">ROUND(R1046*1.5%,2)</f>
        <v>41502.67</v>
      </c>
      <c r="AD1046" s="32">
        <v>130000</v>
      </c>
      <c r="AE1046" s="32">
        <v>120000</v>
      </c>
      <c r="AF1046" s="35">
        <v>2022</v>
      </c>
      <c r="AG1046" s="35">
        <v>2022</v>
      </c>
      <c r="AH1046" s="36">
        <v>2022</v>
      </c>
      <c r="AT1046" s="21" t="e">
        <f t="shared" si="465"/>
        <v>#N/A</v>
      </c>
    </row>
    <row r="1047" spans="1:46" ht="61.5" x14ac:dyDescent="0.85">
      <c r="A1047" s="21">
        <v>1</v>
      </c>
      <c r="B1047" s="70">
        <f>SUBTOTAL(103,$A$896:A1047)</f>
        <v>138</v>
      </c>
      <c r="C1047" s="25" t="s">
        <v>716</v>
      </c>
      <c r="D1047" s="32">
        <f t="shared" si="486"/>
        <v>5240868.3999999994</v>
      </c>
      <c r="E1047" s="32">
        <v>0</v>
      </c>
      <c r="F1047" s="32">
        <v>0</v>
      </c>
      <c r="G1047" s="32">
        <v>0</v>
      </c>
      <c r="H1047" s="32">
        <v>0</v>
      </c>
      <c r="I1047" s="32">
        <v>0</v>
      </c>
      <c r="J1047" s="32">
        <v>0</v>
      </c>
      <c r="K1047" s="34">
        <v>0</v>
      </c>
      <c r="L1047" s="32">
        <v>0</v>
      </c>
      <c r="M1047" s="32">
        <v>950</v>
      </c>
      <c r="N1047" s="32">
        <v>5015633.8899999997</v>
      </c>
      <c r="O1047" s="32">
        <v>0</v>
      </c>
      <c r="P1047" s="32">
        <v>0</v>
      </c>
      <c r="Q1047" s="32">
        <v>0</v>
      </c>
      <c r="R1047" s="32">
        <v>0</v>
      </c>
      <c r="S1047" s="32">
        <v>0</v>
      </c>
      <c r="T1047" s="32">
        <v>0</v>
      </c>
      <c r="U1047" s="32">
        <v>0</v>
      </c>
      <c r="V1047" s="32">
        <v>0</v>
      </c>
      <c r="W1047" s="32">
        <v>0</v>
      </c>
      <c r="X1047" s="32">
        <v>0</v>
      </c>
      <c r="Y1047" s="32">
        <v>0</v>
      </c>
      <c r="Z1047" s="32">
        <v>0</v>
      </c>
      <c r="AA1047" s="32">
        <v>0</v>
      </c>
      <c r="AB1047" s="32">
        <v>0</v>
      </c>
      <c r="AC1047" s="32">
        <f t="shared" ref="AC1047:AC1048" si="489">ROUND(N1047*1.5%,2)</f>
        <v>75234.509999999995</v>
      </c>
      <c r="AD1047" s="32">
        <v>150000</v>
      </c>
      <c r="AE1047" s="32">
        <v>0</v>
      </c>
      <c r="AF1047" s="35">
        <v>2022</v>
      </c>
      <c r="AG1047" s="35">
        <v>2022</v>
      </c>
      <c r="AH1047" s="36">
        <v>2022</v>
      </c>
      <c r="AT1047" s="21">
        <f t="shared" si="465"/>
        <v>1</v>
      </c>
    </row>
    <row r="1048" spans="1:46" ht="61.5" x14ac:dyDescent="0.85">
      <c r="A1048" s="21">
        <v>1</v>
      </c>
      <c r="B1048" s="70">
        <f>SUBTOTAL(103,$A$896:A1048)</f>
        <v>139</v>
      </c>
      <c r="C1048" s="25" t="s">
        <v>702</v>
      </c>
      <c r="D1048" s="32">
        <f t="shared" si="486"/>
        <v>2526766.84</v>
      </c>
      <c r="E1048" s="32">
        <v>0</v>
      </c>
      <c r="F1048" s="32">
        <v>0</v>
      </c>
      <c r="G1048" s="32">
        <v>0</v>
      </c>
      <c r="H1048" s="32">
        <v>0</v>
      </c>
      <c r="I1048" s="32">
        <v>0</v>
      </c>
      <c r="J1048" s="32">
        <v>0</v>
      </c>
      <c r="K1048" s="34">
        <v>0</v>
      </c>
      <c r="L1048" s="32">
        <v>0</v>
      </c>
      <c r="M1048" s="32">
        <v>550</v>
      </c>
      <c r="N1048" s="32">
        <v>2341642.21</v>
      </c>
      <c r="O1048" s="32">
        <v>0</v>
      </c>
      <c r="P1048" s="32">
        <v>0</v>
      </c>
      <c r="Q1048" s="32">
        <v>0</v>
      </c>
      <c r="R1048" s="32">
        <v>0</v>
      </c>
      <c r="S1048" s="32">
        <v>0</v>
      </c>
      <c r="T1048" s="32">
        <v>0</v>
      </c>
      <c r="U1048" s="32">
        <v>0</v>
      </c>
      <c r="V1048" s="32">
        <v>0</v>
      </c>
      <c r="W1048" s="32">
        <v>0</v>
      </c>
      <c r="X1048" s="32">
        <v>0</v>
      </c>
      <c r="Y1048" s="32">
        <v>0</v>
      </c>
      <c r="Z1048" s="32">
        <v>0</v>
      </c>
      <c r="AA1048" s="32">
        <v>0</v>
      </c>
      <c r="AB1048" s="32">
        <v>0</v>
      </c>
      <c r="AC1048" s="32">
        <f t="shared" si="489"/>
        <v>35124.629999999997</v>
      </c>
      <c r="AD1048" s="32">
        <v>150000</v>
      </c>
      <c r="AE1048" s="32">
        <v>0</v>
      </c>
      <c r="AF1048" s="35">
        <v>2022</v>
      </c>
      <c r="AG1048" s="35">
        <v>2022</v>
      </c>
      <c r="AH1048" s="36">
        <v>2022</v>
      </c>
      <c r="AT1048" s="21" t="e">
        <f t="shared" si="465"/>
        <v>#N/A</v>
      </c>
    </row>
    <row r="1049" spans="1:46" ht="61.5" x14ac:dyDescent="0.85">
      <c r="A1049" s="21">
        <v>1</v>
      </c>
      <c r="B1049" s="70">
        <f>SUBTOTAL(103,$A$896:A1049)</f>
        <v>140</v>
      </c>
      <c r="C1049" s="25" t="s">
        <v>703</v>
      </c>
      <c r="D1049" s="32">
        <f t="shared" si="486"/>
        <v>4496606</v>
      </c>
      <c r="E1049" s="32">
        <v>0</v>
      </c>
      <c r="F1049" s="32">
        <v>0</v>
      </c>
      <c r="G1049" s="32">
        <v>0</v>
      </c>
      <c r="H1049" s="32">
        <v>0</v>
      </c>
      <c r="I1049" s="32">
        <v>0</v>
      </c>
      <c r="J1049" s="32">
        <v>0</v>
      </c>
      <c r="K1049" s="34">
        <v>2</v>
      </c>
      <c r="L1049" s="32">
        <v>4396606</v>
      </c>
      <c r="M1049" s="32">
        <v>0</v>
      </c>
      <c r="N1049" s="32">
        <v>0</v>
      </c>
      <c r="O1049" s="32">
        <v>0</v>
      </c>
      <c r="P1049" s="32">
        <v>0</v>
      </c>
      <c r="Q1049" s="32">
        <v>0</v>
      </c>
      <c r="R1049" s="32">
        <v>0</v>
      </c>
      <c r="S1049" s="32">
        <v>0</v>
      </c>
      <c r="T1049" s="32">
        <v>0</v>
      </c>
      <c r="U1049" s="32">
        <v>0</v>
      </c>
      <c r="V1049" s="32">
        <v>0</v>
      </c>
      <c r="W1049" s="32">
        <v>0</v>
      </c>
      <c r="X1049" s="32">
        <v>0</v>
      </c>
      <c r="Y1049" s="32">
        <v>0</v>
      </c>
      <c r="Z1049" s="32">
        <v>0</v>
      </c>
      <c r="AA1049" s="32">
        <v>0</v>
      </c>
      <c r="AB1049" s="32">
        <v>0</v>
      </c>
      <c r="AC1049" s="32">
        <v>0</v>
      </c>
      <c r="AD1049" s="32">
        <v>100000</v>
      </c>
      <c r="AE1049" s="32">
        <v>0</v>
      </c>
      <c r="AF1049" s="35">
        <v>2022</v>
      </c>
      <c r="AG1049" s="35">
        <v>2022</v>
      </c>
      <c r="AH1049" s="36" t="s">
        <v>275</v>
      </c>
      <c r="AT1049" s="21" t="e">
        <f t="shared" si="465"/>
        <v>#N/A</v>
      </c>
    </row>
    <row r="1050" spans="1:46" ht="61.5" x14ac:dyDescent="0.85">
      <c r="B1050" s="25" t="s">
        <v>876</v>
      </c>
      <c r="C1050" s="110"/>
      <c r="D1050" s="32">
        <f>D1051+D1052</f>
        <v>12591900</v>
      </c>
      <c r="E1050" s="32">
        <f t="shared" ref="E1050:AE1050" si="490">E1051+E1052</f>
        <v>0</v>
      </c>
      <c r="F1050" s="32">
        <f t="shared" si="490"/>
        <v>0</v>
      </c>
      <c r="G1050" s="32">
        <f t="shared" si="490"/>
        <v>0</v>
      </c>
      <c r="H1050" s="32">
        <f t="shared" si="490"/>
        <v>0</v>
      </c>
      <c r="I1050" s="32">
        <f t="shared" si="490"/>
        <v>0</v>
      </c>
      <c r="J1050" s="32">
        <f t="shared" si="490"/>
        <v>0</v>
      </c>
      <c r="K1050" s="34">
        <f t="shared" si="490"/>
        <v>0</v>
      </c>
      <c r="L1050" s="32">
        <f t="shared" si="490"/>
        <v>0</v>
      </c>
      <c r="M1050" s="32">
        <f t="shared" si="490"/>
        <v>2469</v>
      </c>
      <c r="N1050" s="32">
        <f t="shared" si="490"/>
        <v>12080689.66</v>
      </c>
      <c r="O1050" s="32">
        <f t="shared" si="490"/>
        <v>0</v>
      </c>
      <c r="P1050" s="32">
        <f t="shared" si="490"/>
        <v>0</v>
      </c>
      <c r="Q1050" s="32">
        <f t="shared" si="490"/>
        <v>0</v>
      </c>
      <c r="R1050" s="32">
        <f t="shared" si="490"/>
        <v>0</v>
      </c>
      <c r="S1050" s="32">
        <f t="shared" si="490"/>
        <v>0</v>
      </c>
      <c r="T1050" s="32">
        <f t="shared" si="490"/>
        <v>0</v>
      </c>
      <c r="U1050" s="32">
        <f t="shared" si="490"/>
        <v>0</v>
      </c>
      <c r="V1050" s="32">
        <f t="shared" si="490"/>
        <v>0</v>
      </c>
      <c r="W1050" s="32">
        <f t="shared" si="490"/>
        <v>0</v>
      </c>
      <c r="X1050" s="32">
        <f t="shared" si="490"/>
        <v>0</v>
      </c>
      <c r="Y1050" s="32">
        <f t="shared" si="490"/>
        <v>0</v>
      </c>
      <c r="Z1050" s="32">
        <f t="shared" si="490"/>
        <v>0</v>
      </c>
      <c r="AA1050" s="32">
        <f t="shared" si="490"/>
        <v>0</v>
      </c>
      <c r="AB1050" s="32">
        <f t="shared" si="490"/>
        <v>0</v>
      </c>
      <c r="AC1050" s="32">
        <f t="shared" si="490"/>
        <v>181210.34</v>
      </c>
      <c r="AD1050" s="32">
        <f t="shared" si="490"/>
        <v>330000</v>
      </c>
      <c r="AE1050" s="32">
        <f t="shared" si="490"/>
        <v>0</v>
      </c>
      <c r="AF1050" s="77" t="s">
        <v>801</v>
      </c>
      <c r="AG1050" s="77" t="s">
        <v>801</v>
      </c>
      <c r="AH1050" s="107" t="s">
        <v>801</v>
      </c>
      <c r="AT1050" s="21" t="e">
        <f t="shared" si="465"/>
        <v>#N/A</v>
      </c>
    </row>
    <row r="1051" spans="1:46" ht="61.5" x14ac:dyDescent="0.85">
      <c r="A1051" s="21">
        <v>1</v>
      </c>
      <c r="B1051" s="70">
        <f>SUBTOTAL(103,$A$896:A1051)</f>
        <v>141</v>
      </c>
      <c r="C1051" s="25" t="s">
        <v>240</v>
      </c>
      <c r="D1051" s="32">
        <f t="shared" ref="D1051:D1052" si="491">E1051+F1051+G1051+H1051+I1051+J1051+L1051+N1051+P1051+R1051+T1051+U1051+V1051+W1051+X1051+Y1051+Z1051+AA1051+AB1051+AC1051+AD1051+AE1051</f>
        <v>4620600</v>
      </c>
      <c r="E1051" s="32">
        <v>0</v>
      </c>
      <c r="F1051" s="32">
        <v>0</v>
      </c>
      <c r="G1051" s="32">
        <v>0</v>
      </c>
      <c r="H1051" s="32">
        <v>0</v>
      </c>
      <c r="I1051" s="32">
        <v>0</v>
      </c>
      <c r="J1051" s="32">
        <v>0</v>
      </c>
      <c r="K1051" s="34">
        <v>0</v>
      </c>
      <c r="L1051" s="32">
        <v>0</v>
      </c>
      <c r="M1051" s="32">
        <v>906</v>
      </c>
      <c r="N1051" s="32">
        <v>4404532.0199999996</v>
      </c>
      <c r="O1051" s="32">
        <v>0</v>
      </c>
      <c r="P1051" s="32">
        <v>0</v>
      </c>
      <c r="Q1051" s="32">
        <v>0</v>
      </c>
      <c r="R1051" s="32">
        <v>0</v>
      </c>
      <c r="S1051" s="32">
        <v>0</v>
      </c>
      <c r="T1051" s="32">
        <v>0</v>
      </c>
      <c r="U1051" s="32">
        <v>0</v>
      </c>
      <c r="V1051" s="32">
        <v>0</v>
      </c>
      <c r="W1051" s="32">
        <v>0</v>
      </c>
      <c r="X1051" s="32">
        <v>0</v>
      </c>
      <c r="Y1051" s="32">
        <v>0</v>
      </c>
      <c r="Z1051" s="32">
        <v>0</v>
      </c>
      <c r="AA1051" s="32">
        <v>0</v>
      </c>
      <c r="AB1051" s="32">
        <v>0</v>
      </c>
      <c r="AC1051" s="32">
        <f t="shared" ref="AC1051:AC1052" si="492">ROUND(N1051*1.5%,2)</f>
        <v>66067.98</v>
      </c>
      <c r="AD1051" s="32">
        <v>150000</v>
      </c>
      <c r="AE1051" s="32">
        <v>0</v>
      </c>
      <c r="AF1051" s="35">
        <v>2022</v>
      </c>
      <c r="AG1051" s="35">
        <v>2022</v>
      </c>
      <c r="AH1051" s="36">
        <v>2022</v>
      </c>
      <c r="AT1051" s="21" t="e">
        <f t="shared" si="465"/>
        <v>#N/A</v>
      </c>
    </row>
    <row r="1052" spans="1:46" ht="61.5" x14ac:dyDescent="0.85">
      <c r="A1052" s="21">
        <v>1</v>
      </c>
      <c r="B1052" s="70">
        <f>SUBTOTAL(103,$A$896:A1052)</f>
        <v>142</v>
      </c>
      <c r="C1052" s="25" t="s">
        <v>244</v>
      </c>
      <c r="D1052" s="32">
        <f t="shared" si="491"/>
        <v>7971300</v>
      </c>
      <c r="E1052" s="32">
        <v>0</v>
      </c>
      <c r="F1052" s="32">
        <v>0</v>
      </c>
      <c r="G1052" s="32">
        <v>0</v>
      </c>
      <c r="H1052" s="32">
        <v>0</v>
      </c>
      <c r="I1052" s="32">
        <v>0</v>
      </c>
      <c r="J1052" s="32">
        <v>0</v>
      </c>
      <c r="K1052" s="34">
        <v>0</v>
      </c>
      <c r="L1052" s="32">
        <v>0</v>
      </c>
      <c r="M1052" s="32">
        <v>1563</v>
      </c>
      <c r="N1052" s="32">
        <v>7676157.6399999997</v>
      </c>
      <c r="O1052" s="32">
        <v>0</v>
      </c>
      <c r="P1052" s="32">
        <v>0</v>
      </c>
      <c r="Q1052" s="32">
        <v>0</v>
      </c>
      <c r="R1052" s="32">
        <v>0</v>
      </c>
      <c r="S1052" s="32">
        <v>0</v>
      </c>
      <c r="T1052" s="32">
        <v>0</v>
      </c>
      <c r="U1052" s="32">
        <v>0</v>
      </c>
      <c r="V1052" s="32">
        <v>0</v>
      </c>
      <c r="W1052" s="32">
        <v>0</v>
      </c>
      <c r="X1052" s="32">
        <v>0</v>
      </c>
      <c r="Y1052" s="32">
        <v>0</v>
      </c>
      <c r="Z1052" s="32">
        <v>0</v>
      </c>
      <c r="AA1052" s="32">
        <v>0</v>
      </c>
      <c r="AB1052" s="32">
        <v>0</v>
      </c>
      <c r="AC1052" s="32">
        <f t="shared" si="492"/>
        <v>115142.36</v>
      </c>
      <c r="AD1052" s="32">
        <v>180000</v>
      </c>
      <c r="AE1052" s="32">
        <v>0</v>
      </c>
      <c r="AF1052" s="35">
        <v>2022</v>
      </c>
      <c r="AG1052" s="35">
        <v>2022</v>
      </c>
      <c r="AH1052" s="36">
        <v>2022</v>
      </c>
      <c r="AT1052" s="21" t="e">
        <f t="shared" si="465"/>
        <v>#N/A</v>
      </c>
    </row>
    <row r="1053" spans="1:46" ht="61.5" x14ac:dyDescent="0.85">
      <c r="B1053" s="25" t="s">
        <v>877</v>
      </c>
      <c r="C1053" s="25"/>
      <c r="D1053" s="32">
        <f>D1054</f>
        <v>1724820</v>
      </c>
      <c r="E1053" s="32">
        <f t="shared" ref="E1053:AE1053" si="493">E1054</f>
        <v>0</v>
      </c>
      <c r="F1053" s="32">
        <f t="shared" si="493"/>
        <v>0</v>
      </c>
      <c r="G1053" s="32">
        <f t="shared" si="493"/>
        <v>0</v>
      </c>
      <c r="H1053" s="32">
        <f t="shared" si="493"/>
        <v>0</v>
      </c>
      <c r="I1053" s="32">
        <f t="shared" si="493"/>
        <v>0</v>
      </c>
      <c r="J1053" s="32">
        <f t="shared" si="493"/>
        <v>0</v>
      </c>
      <c r="K1053" s="34">
        <f t="shared" si="493"/>
        <v>0</v>
      </c>
      <c r="L1053" s="32">
        <f t="shared" si="493"/>
        <v>0</v>
      </c>
      <c r="M1053" s="32">
        <f t="shared" si="493"/>
        <v>338.2</v>
      </c>
      <c r="N1053" s="32">
        <f t="shared" si="493"/>
        <v>1581103.45</v>
      </c>
      <c r="O1053" s="32">
        <f t="shared" si="493"/>
        <v>0</v>
      </c>
      <c r="P1053" s="32">
        <f t="shared" si="493"/>
        <v>0</v>
      </c>
      <c r="Q1053" s="32">
        <f t="shared" si="493"/>
        <v>0</v>
      </c>
      <c r="R1053" s="32">
        <f t="shared" si="493"/>
        <v>0</v>
      </c>
      <c r="S1053" s="32">
        <f t="shared" si="493"/>
        <v>0</v>
      </c>
      <c r="T1053" s="32">
        <f t="shared" si="493"/>
        <v>0</v>
      </c>
      <c r="U1053" s="32">
        <f t="shared" si="493"/>
        <v>0</v>
      </c>
      <c r="V1053" s="32">
        <f t="shared" si="493"/>
        <v>0</v>
      </c>
      <c r="W1053" s="32">
        <f t="shared" si="493"/>
        <v>0</v>
      </c>
      <c r="X1053" s="32">
        <f t="shared" si="493"/>
        <v>0</v>
      </c>
      <c r="Y1053" s="32">
        <f t="shared" si="493"/>
        <v>0</v>
      </c>
      <c r="Z1053" s="32">
        <f t="shared" si="493"/>
        <v>0</v>
      </c>
      <c r="AA1053" s="32">
        <f t="shared" si="493"/>
        <v>0</v>
      </c>
      <c r="AB1053" s="32">
        <f t="shared" si="493"/>
        <v>0</v>
      </c>
      <c r="AC1053" s="32">
        <f t="shared" si="493"/>
        <v>23716.55</v>
      </c>
      <c r="AD1053" s="32">
        <f t="shared" si="493"/>
        <v>120000</v>
      </c>
      <c r="AE1053" s="32">
        <f t="shared" si="493"/>
        <v>0</v>
      </c>
      <c r="AF1053" s="77" t="s">
        <v>801</v>
      </c>
      <c r="AG1053" s="77" t="s">
        <v>801</v>
      </c>
      <c r="AH1053" s="107" t="s">
        <v>801</v>
      </c>
      <c r="AT1053" s="21" t="e">
        <f t="shared" si="465"/>
        <v>#N/A</v>
      </c>
    </row>
    <row r="1054" spans="1:46" ht="61.5" x14ac:dyDescent="0.85">
      <c r="A1054" s="21">
        <v>1</v>
      </c>
      <c r="B1054" s="70">
        <f>SUBTOTAL(103,$A$896:A1054)</f>
        <v>143</v>
      </c>
      <c r="C1054" s="25" t="s">
        <v>249</v>
      </c>
      <c r="D1054" s="32">
        <f t="shared" ref="D1054" si="494">E1054+F1054+G1054+H1054+I1054+J1054+L1054+N1054+P1054+R1054+T1054+U1054+V1054+W1054+X1054+Y1054+Z1054+AA1054+AB1054+AC1054+AD1054+AE1054</f>
        <v>1724820</v>
      </c>
      <c r="E1054" s="32">
        <v>0</v>
      </c>
      <c r="F1054" s="32">
        <v>0</v>
      </c>
      <c r="G1054" s="32">
        <v>0</v>
      </c>
      <c r="H1054" s="32">
        <v>0</v>
      </c>
      <c r="I1054" s="32">
        <v>0</v>
      </c>
      <c r="J1054" s="32">
        <v>0</v>
      </c>
      <c r="K1054" s="34">
        <v>0</v>
      </c>
      <c r="L1054" s="32">
        <v>0</v>
      </c>
      <c r="M1054" s="32">
        <v>338.2</v>
      </c>
      <c r="N1054" s="32">
        <v>1581103.45</v>
      </c>
      <c r="O1054" s="32">
        <v>0</v>
      </c>
      <c r="P1054" s="32">
        <v>0</v>
      </c>
      <c r="Q1054" s="32">
        <v>0</v>
      </c>
      <c r="R1054" s="32">
        <v>0</v>
      </c>
      <c r="S1054" s="32">
        <v>0</v>
      </c>
      <c r="T1054" s="32">
        <v>0</v>
      </c>
      <c r="U1054" s="32">
        <v>0</v>
      </c>
      <c r="V1054" s="32">
        <v>0</v>
      </c>
      <c r="W1054" s="32">
        <v>0</v>
      </c>
      <c r="X1054" s="32">
        <v>0</v>
      </c>
      <c r="Y1054" s="32">
        <v>0</v>
      </c>
      <c r="Z1054" s="32">
        <v>0</v>
      </c>
      <c r="AA1054" s="32">
        <v>0</v>
      </c>
      <c r="AB1054" s="32">
        <v>0</v>
      </c>
      <c r="AC1054" s="32">
        <f>ROUND(N1054*1.5%,2)</f>
        <v>23716.55</v>
      </c>
      <c r="AD1054" s="32">
        <v>120000</v>
      </c>
      <c r="AE1054" s="32">
        <v>0</v>
      </c>
      <c r="AF1054" s="35">
        <v>2022</v>
      </c>
      <c r="AG1054" s="35">
        <v>2022</v>
      </c>
      <c r="AH1054" s="36">
        <v>2022</v>
      </c>
      <c r="AT1054" s="21" t="e">
        <f t="shared" si="465"/>
        <v>#N/A</v>
      </c>
    </row>
    <row r="1055" spans="1:46" ht="61.5" x14ac:dyDescent="0.85">
      <c r="B1055" s="25" t="s">
        <v>878</v>
      </c>
      <c r="C1055" s="25"/>
      <c r="D1055" s="32">
        <f>D1056</f>
        <v>1739107.3499999999</v>
      </c>
      <c r="E1055" s="32">
        <f t="shared" ref="E1055:AE1055" si="495">E1056</f>
        <v>0</v>
      </c>
      <c r="F1055" s="32">
        <f t="shared" si="495"/>
        <v>0</v>
      </c>
      <c r="G1055" s="32">
        <f t="shared" si="495"/>
        <v>0</v>
      </c>
      <c r="H1055" s="32">
        <f t="shared" si="495"/>
        <v>0</v>
      </c>
      <c r="I1055" s="32">
        <f t="shared" si="495"/>
        <v>0</v>
      </c>
      <c r="J1055" s="32">
        <f t="shared" si="495"/>
        <v>0</v>
      </c>
      <c r="K1055" s="34">
        <f t="shared" si="495"/>
        <v>0</v>
      </c>
      <c r="L1055" s="32">
        <f t="shared" si="495"/>
        <v>0</v>
      </c>
      <c r="M1055" s="32">
        <f t="shared" si="495"/>
        <v>0</v>
      </c>
      <c r="N1055" s="32">
        <f t="shared" si="495"/>
        <v>0</v>
      </c>
      <c r="O1055" s="32">
        <f t="shared" si="495"/>
        <v>0</v>
      </c>
      <c r="P1055" s="32">
        <f t="shared" si="495"/>
        <v>0</v>
      </c>
      <c r="Q1055" s="32">
        <f t="shared" si="495"/>
        <v>568.70000000000005</v>
      </c>
      <c r="R1055" s="32">
        <f t="shared" si="495"/>
        <v>1585327.44</v>
      </c>
      <c r="S1055" s="32">
        <f t="shared" si="495"/>
        <v>0</v>
      </c>
      <c r="T1055" s="32">
        <f t="shared" si="495"/>
        <v>0</v>
      </c>
      <c r="U1055" s="32">
        <f t="shared" si="495"/>
        <v>0</v>
      </c>
      <c r="V1055" s="32">
        <f t="shared" si="495"/>
        <v>0</v>
      </c>
      <c r="W1055" s="32">
        <f t="shared" si="495"/>
        <v>0</v>
      </c>
      <c r="X1055" s="32">
        <f t="shared" si="495"/>
        <v>0</v>
      </c>
      <c r="Y1055" s="32">
        <f t="shared" si="495"/>
        <v>0</v>
      </c>
      <c r="Z1055" s="32">
        <f t="shared" si="495"/>
        <v>0</v>
      </c>
      <c r="AA1055" s="32">
        <f t="shared" si="495"/>
        <v>0</v>
      </c>
      <c r="AB1055" s="32">
        <f t="shared" si="495"/>
        <v>0</v>
      </c>
      <c r="AC1055" s="32">
        <f t="shared" si="495"/>
        <v>23779.91</v>
      </c>
      <c r="AD1055" s="32">
        <f t="shared" si="495"/>
        <v>130000</v>
      </c>
      <c r="AE1055" s="32">
        <f t="shared" si="495"/>
        <v>0</v>
      </c>
      <c r="AF1055" s="77" t="s">
        <v>801</v>
      </c>
      <c r="AG1055" s="77" t="s">
        <v>801</v>
      </c>
      <c r="AH1055" s="107" t="s">
        <v>801</v>
      </c>
      <c r="AT1055" s="21" t="e">
        <f t="shared" si="465"/>
        <v>#N/A</v>
      </c>
    </row>
    <row r="1056" spans="1:46" ht="61.5" x14ac:dyDescent="0.85">
      <c r="A1056" s="21">
        <v>1</v>
      </c>
      <c r="B1056" s="70">
        <f>SUBTOTAL(103,$A$896:A1056)</f>
        <v>144</v>
      </c>
      <c r="C1056" s="25" t="s">
        <v>251</v>
      </c>
      <c r="D1056" s="32">
        <f t="shared" ref="D1056" si="496">E1056+F1056+G1056+H1056+I1056+J1056+L1056+N1056+P1056+R1056+T1056+U1056+V1056+W1056+X1056+Y1056+Z1056+AA1056+AB1056+AC1056+AD1056+AE1056</f>
        <v>1739107.3499999999</v>
      </c>
      <c r="E1056" s="32">
        <v>0</v>
      </c>
      <c r="F1056" s="32">
        <v>0</v>
      </c>
      <c r="G1056" s="32">
        <v>0</v>
      </c>
      <c r="H1056" s="32">
        <v>0</v>
      </c>
      <c r="I1056" s="32">
        <v>0</v>
      </c>
      <c r="J1056" s="32">
        <v>0</v>
      </c>
      <c r="K1056" s="34">
        <v>0</v>
      </c>
      <c r="L1056" s="32">
        <v>0</v>
      </c>
      <c r="M1056" s="32">
        <v>0</v>
      </c>
      <c r="N1056" s="32">
        <v>0</v>
      </c>
      <c r="O1056" s="32">
        <v>0</v>
      </c>
      <c r="P1056" s="32">
        <v>0</v>
      </c>
      <c r="Q1056" s="32">
        <v>568.70000000000005</v>
      </c>
      <c r="R1056" s="32">
        <v>1585327.44</v>
      </c>
      <c r="S1056" s="32">
        <v>0</v>
      </c>
      <c r="T1056" s="32">
        <v>0</v>
      </c>
      <c r="U1056" s="32">
        <v>0</v>
      </c>
      <c r="V1056" s="32">
        <v>0</v>
      </c>
      <c r="W1056" s="32">
        <v>0</v>
      </c>
      <c r="X1056" s="32">
        <v>0</v>
      </c>
      <c r="Y1056" s="32">
        <v>0</v>
      </c>
      <c r="Z1056" s="32">
        <v>0</v>
      </c>
      <c r="AA1056" s="32">
        <v>0</v>
      </c>
      <c r="AB1056" s="32">
        <v>0</v>
      </c>
      <c r="AC1056" s="32">
        <f t="shared" ref="AC1056" si="497">ROUND(R1056*1.5%,2)</f>
        <v>23779.91</v>
      </c>
      <c r="AD1056" s="32">
        <v>130000</v>
      </c>
      <c r="AE1056" s="32">
        <v>0</v>
      </c>
      <c r="AF1056" s="35">
        <v>2022</v>
      </c>
      <c r="AG1056" s="35">
        <v>2022</v>
      </c>
      <c r="AH1056" s="36">
        <v>2022</v>
      </c>
      <c r="AT1056" s="21" t="e">
        <f t="shared" ref="AT1056:AT1087" si="498">VLOOKUP(C1056,AW:AX,2,FALSE)</f>
        <v>#N/A</v>
      </c>
    </row>
    <row r="1057" spans="1:46" ht="61.5" x14ac:dyDescent="0.85">
      <c r="B1057" s="25" t="s">
        <v>938</v>
      </c>
      <c r="C1057" s="111"/>
      <c r="D1057" s="32">
        <f>D1058</f>
        <v>3373804.98</v>
      </c>
      <c r="E1057" s="32">
        <f t="shared" ref="E1057:AE1057" si="499">E1058</f>
        <v>0</v>
      </c>
      <c r="F1057" s="32">
        <f t="shared" si="499"/>
        <v>0</v>
      </c>
      <c r="G1057" s="32">
        <f t="shared" si="499"/>
        <v>0</v>
      </c>
      <c r="H1057" s="32">
        <f t="shared" si="499"/>
        <v>0</v>
      </c>
      <c r="I1057" s="32">
        <f t="shared" si="499"/>
        <v>0</v>
      </c>
      <c r="J1057" s="32">
        <f t="shared" si="499"/>
        <v>0</v>
      </c>
      <c r="K1057" s="34">
        <f t="shared" si="499"/>
        <v>0</v>
      </c>
      <c r="L1057" s="32">
        <f t="shared" si="499"/>
        <v>0</v>
      </c>
      <c r="M1057" s="32">
        <f t="shared" si="499"/>
        <v>646.1</v>
      </c>
      <c r="N1057" s="32">
        <f t="shared" si="499"/>
        <v>3176162.54</v>
      </c>
      <c r="O1057" s="32">
        <f t="shared" si="499"/>
        <v>0</v>
      </c>
      <c r="P1057" s="32">
        <f t="shared" si="499"/>
        <v>0</v>
      </c>
      <c r="Q1057" s="32">
        <f t="shared" si="499"/>
        <v>0</v>
      </c>
      <c r="R1057" s="32">
        <f t="shared" si="499"/>
        <v>0</v>
      </c>
      <c r="S1057" s="32">
        <f t="shared" si="499"/>
        <v>0</v>
      </c>
      <c r="T1057" s="32">
        <f t="shared" si="499"/>
        <v>0</v>
      </c>
      <c r="U1057" s="32">
        <f t="shared" si="499"/>
        <v>0</v>
      </c>
      <c r="V1057" s="32">
        <f t="shared" si="499"/>
        <v>0</v>
      </c>
      <c r="W1057" s="32">
        <f t="shared" si="499"/>
        <v>0</v>
      </c>
      <c r="X1057" s="32">
        <f t="shared" si="499"/>
        <v>0</v>
      </c>
      <c r="Y1057" s="32">
        <f t="shared" si="499"/>
        <v>0</v>
      </c>
      <c r="Z1057" s="32">
        <f t="shared" si="499"/>
        <v>0</v>
      </c>
      <c r="AA1057" s="32">
        <f t="shared" si="499"/>
        <v>0</v>
      </c>
      <c r="AB1057" s="32">
        <f t="shared" si="499"/>
        <v>0</v>
      </c>
      <c r="AC1057" s="32">
        <f t="shared" si="499"/>
        <v>47642.44</v>
      </c>
      <c r="AD1057" s="32">
        <f t="shared" si="499"/>
        <v>150000</v>
      </c>
      <c r="AE1057" s="32">
        <f t="shared" si="499"/>
        <v>0</v>
      </c>
      <c r="AF1057" s="77" t="s">
        <v>801</v>
      </c>
      <c r="AG1057" s="77" t="s">
        <v>801</v>
      </c>
      <c r="AH1057" s="107" t="s">
        <v>801</v>
      </c>
      <c r="AT1057" s="21" t="e">
        <f t="shared" si="498"/>
        <v>#N/A</v>
      </c>
    </row>
    <row r="1058" spans="1:46" ht="61.5" x14ac:dyDescent="0.85">
      <c r="A1058" s="21">
        <v>1</v>
      </c>
      <c r="B1058" s="70">
        <f>SUBTOTAL(103,$A$896:A1058)</f>
        <v>145</v>
      </c>
      <c r="C1058" s="26" t="s">
        <v>4</v>
      </c>
      <c r="D1058" s="32">
        <f t="shared" ref="D1058" si="500">E1058+F1058+G1058+H1058+I1058+J1058+L1058+N1058+P1058+R1058+T1058+U1058+V1058+W1058+X1058+Y1058+Z1058+AA1058+AB1058+AC1058+AD1058+AE1058</f>
        <v>3373804.98</v>
      </c>
      <c r="E1058" s="32">
        <v>0</v>
      </c>
      <c r="F1058" s="32">
        <v>0</v>
      </c>
      <c r="G1058" s="32">
        <v>0</v>
      </c>
      <c r="H1058" s="32">
        <v>0</v>
      </c>
      <c r="I1058" s="32">
        <v>0</v>
      </c>
      <c r="J1058" s="32">
        <v>0</v>
      </c>
      <c r="K1058" s="34">
        <v>0</v>
      </c>
      <c r="L1058" s="32">
        <v>0</v>
      </c>
      <c r="M1058" s="32">
        <v>646.1</v>
      </c>
      <c r="N1058" s="32">
        <v>3176162.54</v>
      </c>
      <c r="O1058" s="32">
        <v>0</v>
      </c>
      <c r="P1058" s="32">
        <v>0</v>
      </c>
      <c r="Q1058" s="32">
        <v>0</v>
      </c>
      <c r="R1058" s="32">
        <v>0</v>
      </c>
      <c r="S1058" s="32">
        <v>0</v>
      </c>
      <c r="T1058" s="32">
        <v>0</v>
      </c>
      <c r="U1058" s="32">
        <v>0</v>
      </c>
      <c r="V1058" s="32">
        <v>0</v>
      </c>
      <c r="W1058" s="32">
        <v>0</v>
      </c>
      <c r="X1058" s="32">
        <v>0</v>
      </c>
      <c r="Y1058" s="32">
        <v>0</v>
      </c>
      <c r="Z1058" s="32">
        <v>0</v>
      </c>
      <c r="AA1058" s="32">
        <v>0</v>
      </c>
      <c r="AB1058" s="32">
        <v>0</v>
      </c>
      <c r="AC1058" s="32">
        <f>ROUND(N1058*1.5%,2)</f>
        <v>47642.44</v>
      </c>
      <c r="AD1058" s="32">
        <v>150000</v>
      </c>
      <c r="AE1058" s="32">
        <v>0</v>
      </c>
      <c r="AF1058" s="35">
        <v>2022</v>
      </c>
      <c r="AG1058" s="35">
        <v>2022</v>
      </c>
      <c r="AH1058" s="36">
        <v>2022</v>
      </c>
      <c r="AT1058" s="21" t="e">
        <f t="shared" si="498"/>
        <v>#N/A</v>
      </c>
    </row>
    <row r="1059" spans="1:46" ht="61.5" x14ac:dyDescent="0.85">
      <c r="B1059" s="25" t="s">
        <v>939</v>
      </c>
      <c r="C1059" s="26"/>
      <c r="D1059" s="32">
        <f>D1060</f>
        <v>3916350</v>
      </c>
      <c r="E1059" s="32">
        <f t="shared" ref="E1059:AE1059" si="501">E1060</f>
        <v>0</v>
      </c>
      <c r="F1059" s="32">
        <f t="shared" si="501"/>
        <v>0</v>
      </c>
      <c r="G1059" s="32">
        <f t="shared" si="501"/>
        <v>0</v>
      </c>
      <c r="H1059" s="32">
        <f t="shared" si="501"/>
        <v>0</v>
      </c>
      <c r="I1059" s="32">
        <f t="shared" si="501"/>
        <v>0</v>
      </c>
      <c r="J1059" s="32">
        <f t="shared" si="501"/>
        <v>0</v>
      </c>
      <c r="K1059" s="34">
        <f t="shared" si="501"/>
        <v>0</v>
      </c>
      <c r="L1059" s="32">
        <f t="shared" si="501"/>
        <v>0</v>
      </c>
      <c r="M1059" s="32">
        <f t="shared" si="501"/>
        <v>750</v>
      </c>
      <c r="N1059" s="32">
        <f t="shared" si="501"/>
        <v>3710689.66</v>
      </c>
      <c r="O1059" s="32">
        <f t="shared" si="501"/>
        <v>0</v>
      </c>
      <c r="P1059" s="32">
        <f t="shared" si="501"/>
        <v>0</v>
      </c>
      <c r="Q1059" s="32">
        <f t="shared" si="501"/>
        <v>0</v>
      </c>
      <c r="R1059" s="32">
        <f t="shared" si="501"/>
        <v>0</v>
      </c>
      <c r="S1059" s="32">
        <f t="shared" si="501"/>
        <v>0</v>
      </c>
      <c r="T1059" s="32">
        <f t="shared" si="501"/>
        <v>0</v>
      </c>
      <c r="U1059" s="32">
        <f t="shared" si="501"/>
        <v>0</v>
      </c>
      <c r="V1059" s="32">
        <f t="shared" si="501"/>
        <v>0</v>
      </c>
      <c r="W1059" s="32">
        <f t="shared" si="501"/>
        <v>0</v>
      </c>
      <c r="X1059" s="32">
        <f t="shared" si="501"/>
        <v>0</v>
      </c>
      <c r="Y1059" s="32">
        <f t="shared" si="501"/>
        <v>0</v>
      </c>
      <c r="Z1059" s="32">
        <f t="shared" si="501"/>
        <v>0</v>
      </c>
      <c r="AA1059" s="32">
        <f t="shared" si="501"/>
        <v>0</v>
      </c>
      <c r="AB1059" s="32">
        <f t="shared" si="501"/>
        <v>0</v>
      </c>
      <c r="AC1059" s="32">
        <f t="shared" si="501"/>
        <v>55660.34</v>
      </c>
      <c r="AD1059" s="32">
        <f t="shared" si="501"/>
        <v>150000</v>
      </c>
      <c r="AE1059" s="32">
        <f t="shared" si="501"/>
        <v>0</v>
      </c>
      <c r="AF1059" s="77" t="s">
        <v>801</v>
      </c>
      <c r="AG1059" s="77" t="s">
        <v>801</v>
      </c>
      <c r="AH1059" s="107" t="s">
        <v>801</v>
      </c>
      <c r="AT1059" s="21" t="e">
        <f t="shared" si="498"/>
        <v>#N/A</v>
      </c>
    </row>
    <row r="1060" spans="1:46" ht="61.5" x14ac:dyDescent="0.85">
      <c r="A1060" s="21">
        <v>1</v>
      </c>
      <c r="B1060" s="70">
        <f>SUBTOTAL(103,$A$896:A1060)</f>
        <v>146</v>
      </c>
      <c r="C1060" s="26" t="s">
        <v>3</v>
      </c>
      <c r="D1060" s="32">
        <f t="shared" ref="D1060" si="502">E1060+F1060+G1060+H1060+I1060+J1060+L1060+N1060+P1060+R1060+T1060+U1060+V1060+W1060+X1060+Y1060+Z1060+AA1060+AB1060+AC1060+AD1060+AE1060</f>
        <v>3916350</v>
      </c>
      <c r="E1060" s="32">
        <v>0</v>
      </c>
      <c r="F1060" s="32">
        <v>0</v>
      </c>
      <c r="G1060" s="32">
        <v>0</v>
      </c>
      <c r="H1060" s="32">
        <v>0</v>
      </c>
      <c r="I1060" s="32">
        <v>0</v>
      </c>
      <c r="J1060" s="32">
        <v>0</v>
      </c>
      <c r="K1060" s="34">
        <v>0</v>
      </c>
      <c r="L1060" s="32">
        <v>0</v>
      </c>
      <c r="M1060" s="32">
        <v>750</v>
      </c>
      <c r="N1060" s="32">
        <v>3710689.66</v>
      </c>
      <c r="O1060" s="32">
        <v>0</v>
      </c>
      <c r="P1060" s="32">
        <v>0</v>
      </c>
      <c r="Q1060" s="32">
        <v>0</v>
      </c>
      <c r="R1060" s="32">
        <v>0</v>
      </c>
      <c r="S1060" s="32">
        <v>0</v>
      </c>
      <c r="T1060" s="32">
        <v>0</v>
      </c>
      <c r="U1060" s="32">
        <v>0</v>
      </c>
      <c r="V1060" s="32">
        <v>0</v>
      </c>
      <c r="W1060" s="32">
        <v>0</v>
      </c>
      <c r="X1060" s="32">
        <v>0</v>
      </c>
      <c r="Y1060" s="32">
        <v>0</v>
      </c>
      <c r="Z1060" s="32">
        <v>0</v>
      </c>
      <c r="AA1060" s="32">
        <v>0</v>
      </c>
      <c r="AB1060" s="32">
        <v>0</v>
      </c>
      <c r="AC1060" s="32">
        <f>ROUND(N1060*1.5%,2)</f>
        <v>55660.34</v>
      </c>
      <c r="AD1060" s="32">
        <v>150000</v>
      </c>
      <c r="AE1060" s="32">
        <v>0</v>
      </c>
      <c r="AF1060" s="35">
        <v>2022</v>
      </c>
      <c r="AG1060" s="35">
        <v>2022</v>
      </c>
      <c r="AH1060" s="36">
        <v>2022</v>
      </c>
      <c r="AT1060" s="21" t="e">
        <f t="shared" si="498"/>
        <v>#N/A</v>
      </c>
    </row>
    <row r="1061" spans="1:46" ht="61.5" x14ac:dyDescent="0.85">
      <c r="B1061" s="25" t="s">
        <v>880</v>
      </c>
      <c r="C1061" s="110"/>
      <c r="D1061" s="32">
        <f>D1062+D1063</f>
        <v>3516578.96</v>
      </c>
      <c r="E1061" s="32">
        <f t="shared" ref="E1061:AE1061" si="503">E1062+E1063</f>
        <v>0</v>
      </c>
      <c r="F1061" s="32">
        <f t="shared" si="503"/>
        <v>0</v>
      </c>
      <c r="G1061" s="32">
        <f t="shared" si="503"/>
        <v>0</v>
      </c>
      <c r="H1061" s="32">
        <f t="shared" si="503"/>
        <v>0</v>
      </c>
      <c r="I1061" s="32">
        <f t="shared" si="503"/>
        <v>0</v>
      </c>
      <c r="J1061" s="32">
        <f t="shared" si="503"/>
        <v>0</v>
      </c>
      <c r="K1061" s="34">
        <f t="shared" si="503"/>
        <v>0</v>
      </c>
      <c r="L1061" s="32">
        <f t="shared" si="503"/>
        <v>0</v>
      </c>
      <c r="M1061" s="32">
        <f t="shared" si="503"/>
        <v>856</v>
      </c>
      <c r="N1061" s="32">
        <f t="shared" si="503"/>
        <v>3228156.6100000003</v>
      </c>
      <c r="O1061" s="32">
        <f t="shared" si="503"/>
        <v>0</v>
      </c>
      <c r="P1061" s="32">
        <f t="shared" si="503"/>
        <v>0</v>
      </c>
      <c r="Q1061" s="32">
        <f t="shared" si="503"/>
        <v>0</v>
      </c>
      <c r="R1061" s="32">
        <f t="shared" si="503"/>
        <v>0</v>
      </c>
      <c r="S1061" s="32">
        <f t="shared" si="503"/>
        <v>0</v>
      </c>
      <c r="T1061" s="32">
        <f t="shared" si="503"/>
        <v>0</v>
      </c>
      <c r="U1061" s="32">
        <f t="shared" si="503"/>
        <v>0</v>
      </c>
      <c r="V1061" s="32">
        <f t="shared" si="503"/>
        <v>0</v>
      </c>
      <c r="W1061" s="32">
        <f t="shared" si="503"/>
        <v>0</v>
      </c>
      <c r="X1061" s="32">
        <f t="shared" si="503"/>
        <v>0</v>
      </c>
      <c r="Y1061" s="32">
        <f t="shared" si="503"/>
        <v>0</v>
      </c>
      <c r="Z1061" s="32">
        <f t="shared" si="503"/>
        <v>0</v>
      </c>
      <c r="AA1061" s="32">
        <f t="shared" si="503"/>
        <v>0</v>
      </c>
      <c r="AB1061" s="32">
        <f t="shared" si="503"/>
        <v>0</v>
      </c>
      <c r="AC1061" s="32">
        <f t="shared" si="503"/>
        <v>48422.350000000006</v>
      </c>
      <c r="AD1061" s="32">
        <f t="shared" si="503"/>
        <v>240000</v>
      </c>
      <c r="AE1061" s="32">
        <f t="shared" si="503"/>
        <v>0</v>
      </c>
      <c r="AF1061" s="77" t="s">
        <v>801</v>
      </c>
      <c r="AG1061" s="77" t="s">
        <v>801</v>
      </c>
      <c r="AH1061" s="107" t="s">
        <v>801</v>
      </c>
      <c r="AT1061" s="21" t="e">
        <f t="shared" si="498"/>
        <v>#N/A</v>
      </c>
    </row>
    <row r="1062" spans="1:46" ht="61.5" x14ac:dyDescent="0.85">
      <c r="A1062" s="21">
        <v>1</v>
      </c>
      <c r="B1062" s="70">
        <f>SUBTOTAL(103,$A$896:A1062)</f>
        <v>147</v>
      </c>
      <c r="C1062" s="25" t="s">
        <v>744</v>
      </c>
      <c r="D1062" s="32">
        <f t="shared" ref="D1062:D1063" si="504">E1062+F1062+G1062+H1062+I1062+J1062+L1062+N1062+P1062+R1062+T1062+U1062+V1062+W1062+X1062+Y1062+Z1062+AA1062+AB1062+AC1062+AD1062+AE1062</f>
        <v>1913529.37</v>
      </c>
      <c r="E1062" s="32">
        <v>0</v>
      </c>
      <c r="F1062" s="32">
        <v>0</v>
      </c>
      <c r="G1062" s="32">
        <v>0</v>
      </c>
      <c r="H1062" s="32">
        <v>0</v>
      </c>
      <c r="I1062" s="32">
        <v>0</v>
      </c>
      <c r="J1062" s="32">
        <v>0</v>
      </c>
      <c r="K1062" s="34">
        <v>0</v>
      </c>
      <c r="L1062" s="32">
        <v>0</v>
      </c>
      <c r="M1062" s="32">
        <v>440</v>
      </c>
      <c r="N1062" s="32">
        <v>1767024.01</v>
      </c>
      <c r="O1062" s="32">
        <v>0</v>
      </c>
      <c r="P1062" s="32">
        <v>0</v>
      </c>
      <c r="Q1062" s="32">
        <v>0</v>
      </c>
      <c r="R1062" s="32">
        <v>0</v>
      </c>
      <c r="S1062" s="32">
        <v>0</v>
      </c>
      <c r="T1062" s="32">
        <v>0</v>
      </c>
      <c r="U1062" s="32">
        <v>0</v>
      </c>
      <c r="V1062" s="32">
        <v>0</v>
      </c>
      <c r="W1062" s="32">
        <v>0</v>
      </c>
      <c r="X1062" s="32">
        <v>0</v>
      </c>
      <c r="Y1062" s="32">
        <v>0</v>
      </c>
      <c r="Z1062" s="32">
        <v>0</v>
      </c>
      <c r="AA1062" s="32">
        <v>0</v>
      </c>
      <c r="AB1062" s="32">
        <v>0</v>
      </c>
      <c r="AC1062" s="32">
        <f t="shared" ref="AC1062:AC1063" si="505">ROUND(N1062*1.5%,2)</f>
        <v>26505.360000000001</v>
      </c>
      <c r="AD1062" s="32">
        <v>120000</v>
      </c>
      <c r="AE1062" s="32">
        <v>0</v>
      </c>
      <c r="AF1062" s="35">
        <v>2022</v>
      </c>
      <c r="AG1062" s="35">
        <v>2022</v>
      </c>
      <c r="AH1062" s="36">
        <v>2022</v>
      </c>
      <c r="AT1062" s="21" t="e">
        <f t="shared" si="498"/>
        <v>#N/A</v>
      </c>
    </row>
    <row r="1063" spans="1:46" ht="61.5" x14ac:dyDescent="0.85">
      <c r="A1063" s="21">
        <v>1</v>
      </c>
      <c r="B1063" s="70">
        <f>SUBTOTAL(103,$A$896:A1063)</f>
        <v>148</v>
      </c>
      <c r="C1063" s="25" t="s">
        <v>742</v>
      </c>
      <c r="D1063" s="32">
        <f t="shared" si="504"/>
        <v>1603049.59</v>
      </c>
      <c r="E1063" s="32">
        <v>0</v>
      </c>
      <c r="F1063" s="32">
        <v>0</v>
      </c>
      <c r="G1063" s="32">
        <v>0</v>
      </c>
      <c r="H1063" s="32">
        <v>0</v>
      </c>
      <c r="I1063" s="32">
        <v>0</v>
      </c>
      <c r="J1063" s="32">
        <v>0</v>
      </c>
      <c r="K1063" s="34">
        <v>0</v>
      </c>
      <c r="L1063" s="32">
        <v>0</v>
      </c>
      <c r="M1063" s="32">
        <v>416</v>
      </c>
      <c r="N1063" s="32">
        <v>1461132.6</v>
      </c>
      <c r="O1063" s="32">
        <v>0</v>
      </c>
      <c r="P1063" s="32">
        <v>0</v>
      </c>
      <c r="Q1063" s="32">
        <v>0</v>
      </c>
      <c r="R1063" s="32">
        <v>0</v>
      </c>
      <c r="S1063" s="32">
        <v>0</v>
      </c>
      <c r="T1063" s="32">
        <v>0</v>
      </c>
      <c r="U1063" s="32">
        <v>0</v>
      </c>
      <c r="V1063" s="32">
        <v>0</v>
      </c>
      <c r="W1063" s="32">
        <v>0</v>
      </c>
      <c r="X1063" s="32">
        <v>0</v>
      </c>
      <c r="Y1063" s="32">
        <v>0</v>
      </c>
      <c r="Z1063" s="32">
        <v>0</v>
      </c>
      <c r="AA1063" s="32">
        <v>0</v>
      </c>
      <c r="AB1063" s="32">
        <v>0</v>
      </c>
      <c r="AC1063" s="32">
        <f t="shared" si="505"/>
        <v>21916.99</v>
      </c>
      <c r="AD1063" s="32">
        <v>120000</v>
      </c>
      <c r="AE1063" s="32">
        <v>0</v>
      </c>
      <c r="AF1063" s="35">
        <v>2022</v>
      </c>
      <c r="AG1063" s="35">
        <v>2022</v>
      </c>
      <c r="AH1063" s="36">
        <v>2022</v>
      </c>
      <c r="AT1063" s="21" t="e">
        <f t="shared" si="498"/>
        <v>#N/A</v>
      </c>
    </row>
    <row r="1064" spans="1:46" ht="61.5" x14ac:dyDescent="0.85">
      <c r="B1064" s="25" t="s">
        <v>922</v>
      </c>
      <c r="C1064" s="25"/>
      <c r="D1064" s="32">
        <f>D1065</f>
        <v>3598749.4899999998</v>
      </c>
      <c r="E1064" s="32">
        <f t="shared" ref="E1064:AE1064" si="506">E1065</f>
        <v>0</v>
      </c>
      <c r="F1064" s="32">
        <f t="shared" si="506"/>
        <v>0</v>
      </c>
      <c r="G1064" s="32">
        <f t="shared" si="506"/>
        <v>0</v>
      </c>
      <c r="H1064" s="32">
        <f t="shared" si="506"/>
        <v>0</v>
      </c>
      <c r="I1064" s="32">
        <f t="shared" si="506"/>
        <v>0</v>
      </c>
      <c r="J1064" s="32">
        <f t="shared" si="506"/>
        <v>0</v>
      </c>
      <c r="K1064" s="34">
        <f t="shared" si="506"/>
        <v>0</v>
      </c>
      <c r="L1064" s="32">
        <f t="shared" si="506"/>
        <v>0</v>
      </c>
      <c r="M1064" s="32">
        <f t="shared" si="506"/>
        <v>975.8</v>
      </c>
      <c r="N1064" s="32">
        <f t="shared" si="506"/>
        <v>3427339.4</v>
      </c>
      <c r="O1064" s="32">
        <f t="shared" si="506"/>
        <v>0</v>
      </c>
      <c r="P1064" s="32">
        <f t="shared" si="506"/>
        <v>0</v>
      </c>
      <c r="Q1064" s="32">
        <f t="shared" si="506"/>
        <v>0</v>
      </c>
      <c r="R1064" s="32">
        <f t="shared" si="506"/>
        <v>0</v>
      </c>
      <c r="S1064" s="32">
        <f t="shared" si="506"/>
        <v>0</v>
      </c>
      <c r="T1064" s="32">
        <f t="shared" si="506"/>
        <v>0</v>
      </c>
      <c r="U1064" s="32">
        <f t="shared" si="506"/>
        <v>0</v>
      </c>
      <c r="V1064" s="32">
        <f t="shared" si="506"/>
        <v>0</v>
      </c>
      <c r="W1064" s="32">
        <f t="shared" si="506"/>
        <v>0</v>
      </c>
      <c r="X1064" s="32">
        <f t="shared" si="506"/>
        <v>0</v>
      </c>
      <c r="Y1064" s="32">
        <f t="shared" si="506"/>
        <v>0</v>
      </c>
      <c r="Z1064" s="32">
        <f t="shared" si="506"/>
        <v>0</v>
      </c>
      <c r="AA1064" s="32">
        <f t="shared" si="506"/>
        <v>0</v>
      </c>
      <c r="AB1064" s="32">
        <f t="shared" si="506"/>
        <v>0</v>
      </c>
      <c r="AC1064" s="32">
        <f t="shared" si="506"/>
        <v>51410.09</v>
      </c>
      <c r="AD1064" s="32">
        <f t="shared" si="506"/>
        <v>120000</v>
      </c>
      <c r="AE1064" s="32">
        <f t="shared" si="506"/>
        <v>0</v>
      </c>
      <c r="AF1064" s="77" t="s">
        <v>801</v>
      </c>
      <c r="AG1064" s="77" t="s">
        <v>801</v>
      </c>
      <c r="AH1064" s="107" t="s">
        <v>801</v>
      </c>
      <c r="AT1064" s="21" t="e">
        <f t="shared" si="498"/>
        <v>#N/A</v>
      </c>
    </row>
    <row r="1065" spans="1:46" ht="61.5" x14ac:dyDescent="0.85">
      <c r="A1065" s="21">
        <v>1</v>
      </c>
      <c r="B1065" s="70">
        <f>SUBTOTAL(103,$A$896:A1065)</f>
        <v>149</v>
      </c>
      <c r="C1065" s="25" t="s">
        <v>750</v>
      </c>
      <c r="D1065" s="32">
        <f t="shared" ref="D1065" si="507">E1065+F1065+G1065+H1065+I1065+J1065+L1065+N1065+P1065+R1065+T1065+U1065+V1065+W1065+X1065+Y1065+Z1065+AA1065+AB1065+AC1065+AD1065+AE1065</f>
        <v>3598749.4899999998</v>
      </c>
      <c r="E1065" s="32">
        <v>0</v>
      </c>
      <c r="F1065" s="32">
        <v>0</v>
      </c>
      <c r="G1065" s="32">
        <v>0</v>
      </c>
      <c r="H1065" s="32">
        <v>0</v>
      </c>
      <c r="I1065" s="32">
        <v>0</v>
      </c>
      <c r="J1065" s="32">
        <v>0</v>
      </c>
      <c r="K1065" s="34">
        <v>0</v>
      </c>
      <c r="L1065" s="32">
        <v>0</v>
      </c>
      <c r="M1065" s="32">
        <v>975.8</v>
      </c>
      <c r="N1065" s="32">
        <v>3427339.4</v>
      </c>
      <c r="O1065" s="32">
        <v>0</v>
      </c>
      <c r="P1065" s="32">
        <v>0</v>
      </c>
      <c r="Q1065" s="32">
        <v>0</v>
      </c>
      <c r="R1065" s="32">
        <v>0</v>
      </c>
      <c r="S1065" s="32">
        <v>0</v>
      </c>
      <c r="T1065" s="32">
        <v>0</v>
      </c>
      <c r="U1065" s="32">
        <v>0</v>
      </c>
      <c r="V1065" s="32">
        <v>0</v>
      </c>
      <c r="W1065" s="32">
        <v>0</v>
      </c>
      <c r="X1065" s="32">
        <v>0</v>
      </c>
      <c r="Y1065" s="32">
        <v>0</v>
      </c>
      <c r="Z1065" s="32">
        <v>0</v>
      </c>
      <c r="AA1065" s="32">
        <v>0</v>
      </c>
      <c r="AB1065" s="32">
        <v>0</v>
      </c>
      <c r="AC1065" s="32">
        <f>ROUND(N1065*1.5%,2)</f>
        <v>51410.09</v>
      </c>
      <c r="AD1065" s="32">
        <v>120000</v>
      </c>
      <c r="AE1065" s="32">
        <v>0</v>
      </c>
      <c r="AF1065" s="35">
        <v>2022</v>
      </c>
      <c r="AG1065" s="35">
        <v>2022</v>
      </c>
      <c r="AH1065" s="36">
        <v>2022</v>
      </c>
      <c r="AT1065" s="21" t="e">
        <f t="shared" si="498"/>
        <v>#N/A</v>
      </c>
    </row>
    <row r="1066" spans="1:46" ht="61.5" x14ac:dyDescent="0.85">
      <c r="B1066" s="25" t="s">
        <v>882</v>
      </c>
      <c r="C1066" s="25"/>
      <c r="D1066" s="32">
        <f>D1067</f>
        <v>3488946.79</v>
      </c>
      <c r="E1066" s="32">
        <f t="shared" ref="E1066:AE1066" si="508">E1067</f>
        <v>0</v>
      </c>
      <c r="F1066" s="32">
        <f t="shared" si="508"/>
        <v>0</v>
      </c>
      <c r="G1066" s="32">
        <f t="shared" si="508"/>
        <v>0</v>
      </c>
      <c r="H1066" s="32">
        <f t="shared" si="508"/>
        <v>0</v>
      </c>
      <c r="I1066" s="32">
        <f t="shared" si="508"/>
        <v>0</v>
      </c>
      <c r="J1066" s="32">
        <f t="shared" si="508"/>
        <v>0</v>
      </c>
      <c r="K1066" s="34">
        <f t="shared" si="508"/>
        <v>0</v>
      </c>
      <c r="L1066" s="32">
        <f t="shared" si="508"/>
        <v>0</v>
      </c>
      <c r="M1066" s="32">
        <f t="shared" si="508"/>
        <v>945</v>
      </c>
      <c r="N1066" s="32">
        <f t="shared" si="508"/>
        <v>3319159.4</v>
      </c>
      <c r="O1066" s="32">
        <f t="shared" si="508"/>
        <v>0</v>
      </c>
      <c r="P1066" s="32">
        <f t="shared" si="508"/>
        <v>0</v>
      </c>
      <c r="Q1066" s="32">
        <f t="shared" si="508"/>
        <v>0</v>
      </c>
      <c r="R1066" s="32">
        <f t="shared" si="508"/>
        <v>0</v>
      </c>
      <c r="S1066" s="32">
        <f t="shared" si="508"/>
        <v>0</v>
      </c>
      <c r="T1066" s="32">
        <f t="shared" si="508"/>
        <v>0</v>
      </c>
      <c r="U1066" s="32">
        <f t="shared" si="508"/>
        <v>0</v>
      </c>
      <c r="V1066" s="32">
        <f t="shared" si="508"/>
        <v>0</v>
      </c>
      <c r="W1066" s="32">
        <f t="shared" si="508"/>
        <v>0</v>
      </c>
      <c r="X1066" s="32">
        <f t="shared" si="508"/>
        <v>0</v>
      </c>
      <c r="Y1066" s="32">
        <f t="shared" si="508"/>
        <v>0</v>
      </c>
      <c r="Z1066" s="32">
        <f t="shared" si="508"/>
        <v>0</v>
      </c>
      <c r="AA1066" s="32">
        <f t="shared" si="508"/>
        <v>0</v>
      </c>
      <c r="AB1066" s="32">
        <f t="shared" si="508"/>
        <v>0</v>
      </c>
      <c r="AC1066" s="32">
        <f t="shared" si="508"/>
        <v>49787.39</v>
      </c>
      <c r="AD1066" s="32">
        <f t="shared" si="508"/>
        <v>120000</v>
      </c>
      <c r="AE1066" s="32">
        <f t="shared" si="508"/>
        <v>0</v>
      </c>
      <c r="AF1066" s="77" t="s">
        <v>801</v>
      </c>
      <c r="AG1066" s="77" t="s">
        <v>801</v>
      </c>
      <c r="AH1066" s="107" t="s">
        <v>801</v>
      </c>
      <c r="AT1066" s="21" t="e">
        <f t="shared" si="498"/>
        <v>#N/A</v>
      </c>
    </row>
    <row r="1067" spans="1:46" ht="61.5" x14ac:dyDescent="0.85">
      <c r="A1067" s="21">
        <v>1</v>
      </c>
      <c r="B1067" s="70">
        <f>SUBTOTAL(103,$A$896:A1067)</f>
        <v>150</v>
      </c>
      <c r="C1067" s="25" t="s">
        <v>748</v>
      </c>
      <c r="D1067" s="32">
        <f t="shared" ref="D1067" si="509">E1067+F1067+G1067+H1067+I1067+J1067+L1067+N1067+P1067+R1067+T1067+U1067+V1067+W1067+X1067+Y1067+Z1067+AA1067+AB1067+AC1067+AD1067+AE1067</f>
        <v>3488946.79</v>
      </c>
      <c r="E1067" s="32">
        <v>0</v>
      </c>
      <c r="F1067" s="32">
        <v>0</v>
      </c>
      <c r="G1067" s="32">
        <v>0</v>
      </c>
      <c r="H1067" s="32">
        <v>0</v>
      </c>
      <c r="I1067" s="32">
        <v>0</v>
      </c>
      <c r="J1067" s="32">
        <v>0</v>
      </c>
      <c r="K1067" s="34">
        <v>0</v>
      </c>
      <c r="L1067" s="32">
        <v>0</v>
      </c>
      <c r="M1067" s="32">
        <v>945</v>
      </c>
      <c r="N1067" s="32">
        <v>3319159.4</v>
      </c>
      <c r="O1067" s="32">
        <v>0</v>
      </c>
      <c r="P1067" s="32">
        <v>0</v>
      </c>
      <c r="Q1067" s="32">
        <v>0</v>
      </c>
      <c r="R1067" s="32">
        <v>0</v>
      </c>
      <c r="S1067" s="32">
        <v>0</v>
      </c>
      <c r="T1067" s="32">
        <v>0</v>
      </c>
      <c r="U1067" s="32">
        <v>0</v>
      </c>
      <c r="V1067" s="32">
        <v>0</v>
      </c>
      <c r="W1067" s="32">
        <v>0</v>
      </c>
      <c r="X1067" s="32">
        <v>0</v>
      </c>
      <c r="Y1067" s="32">
        <v>0</v>
      </c>
      <c r="Z1067" s="32">
        <v>0</v>
      </c>
      <c r="AA1067" s="32">
        <v>0</v>
      </c>
      <c r="AB1067" s="32">
        <v>0</v>
      </c>
      <c r="AC1067" s="32">
        <f>ROUND(N1067*1.5%,2)</f>
        <v>49787.39</v>
      </c>
      <c r="AD1067" s="32">
        <v>120000</v>
      </c>
      <c r="AE1067" s="32">
        <v>0</v>
      </c>
      <c r="AF1067" s="35">
        <v>2022</v>
      </c>
      <c r="AG1067" s="35">
        <v>2022</v>
      </c>
      <c r="AH1067" s="36">
        <v>2022</v>
      </c>
      <c r="AT1067" s="21" t="e">
        <f t="shared" si="498"/>
        <v>#N/A</v>
      </c>
    </row>
    <row r="1068" spans="1:46" ht="61.5" x14ac:dyDescent="0.85">
      <c r="B1068" s="25" t="s">
        <v>940</v>
      </c>
      <c r="C1068" s="25"/>
      <c r="D1068" s="32">
        <f>D1069</f>
        <v>1538879.17</v>
      </c>
      <c r="E1068" s="32">
        <f t="shared" ref="E1068:AE1068" si="510">E1069</f>
        <v>0</v>
      </c>
      <c r="F1068" s="32">
        <f t="shared" si="510"/>
        <v>0</v>
      </c>
      <c r="G1068" s="32">
        <f t="shared" si="510"/>
        <v>0</v>
      </c>
      <c r="H1068" s="32">
        <f t="shared" si="510"/>
        <v>0</v>
      </c>
      <c r="I1068" s="32">
        <f t="shared" si="510"/>
        <v>0</v>
      </c>
      <c r="J1068" s="32">
        <f t="shared" si="510"/>
        <v>0</v>
      </c>
      <c r="K1068" s="34">
        <f t="shared" si="510"/>
        <v>0</v>
      </c>
      <c r="L1068" s="32">
        <f t="shared" si="510"/>
        <v>0</v>
      </c>
      <c r="M1068" s="32">
        <f t="shared" si="510"/>
        <v>398</v>
      </c>
      <c r="N1068" s="32">
        <f t="shared" si="510"/>
        <v>1397910.51</v>
      </c>
      <c r="O1068" s="32">
        <f t="shared" si="510"/>
        <v>0</v>
      </c>
      <c r="P1068" s="32">
        <f t="shared" si="510"/>
        <v>0</v>
      </c>
      <c r="Q1068" s="32">
        <f t="shared" si="510"/>
        <v>0</v>
      </c>
      <c r="R1068" s="32">
        <f t="shared" si="510"/>
        <v>0</v>
      </c>
      <c r="S1068" s="32">
        <f t="shared" si="510"/>
        <v>0</v>
      </c>
      <c r="T1068" s="32">
        <f t="shared" si="510"/>
        <v>0</v>
      </c>
      <c r="U1068" s="32">
        <f t="shared" si="510"/>
        <v>0</v>
      </c>
      <c r="V1068" s="32">
        <f t="shared" si="510"/>
        <v>0</v>
      </c>
      <c r="W1068" s="32">
        <f t="shared" si="510"/>
        <v>0</v>
      </c>
      <c r="X1068" s="32">
        <f t="shared" si="510"/>
        <v>0</v>
      </c>
      <c r="Y1068" s="32">
        <f t="shared" si="510"/>
        <v>0</v>
      </c>
      <c r="Z1068" s="32">
        <f t="shared" si="510"/>
        <v>0</v>
      </c>
      <c r="AA1068" s="32">
        <f t="shared" si="510"/>
        <v>0</v>
      </c>
      <c r="AB1068" s="32">
        <f t="shared" si="510"/>
        <v>0</v>
      </c>
      <c r="AC1068" s="32">
        <f t="shared" si="510"/>
        <v>20968.66</v>
      </c>
      <c r="AD1068" s="32">
        <f t="shared" si="510"/>
        <v>120000</v>
      </c>
      <c r="AE1068" s="32">
        <f t="shared" si="510"/>
        <v>0</v>
      </c>
      <c r="AF1068" s="77" t="s">
        <v>801</v>
      </c>
      <c r="AG1068" s="77" t="s">
        <v>801</v>
      </c>
      <c r="AH1068" s="107" t="s">
        <v>801</v>
      </c>
      <c r="AT1068" s="21" t="e">
        <f t="shared" si="498"/>
        <v>#N/A</v>
      </c>
    </row>
    <row r="1069" spans="1:46" ht="61.5" x14ac:dyDescent="0.85">
      <c r="A1069" s="21">
        <v>1</v>
      </c>
      <c r="B1069" s="70">
        <f>SUBTOTAL(103,$A$896:A1069)</f>
        <v>151</v>
      </c>
      <c r="C1069" s="25" t="s">
        <v>745</v>
      </c>
      <c r="D1069" s="32">
        <f t="shared" ref="D1069" si="511">E1069+F1069+G1069+H1069+I1069+J1069+L1069+N1069+P1069+R1069+T1069+U1069+V1069+W1069+X1069+Y1069+Z1069+AA1069+AB1069+AC1069+AD1069+AE1069</f>
        <v>1538879.17</v>
      </c>
      <c r="E1069" s="32">
        <v>0</v>
      </c>
      <c r="F1069" s="32">
        <v>0</v>
      </c>
      <c r="G1069" s="32">
        <v>0</v>
      </c>
      <c r="H1069" s="32">
        <v>0</v>
      </c>
      <c r="I1069" s="32">
        <v>0</v>
      </c>
      <c r="J1069" s="32">
        <v>0</v>
      </c>
      <c r="K1069" s="34">
        <v>0</v>
      </c>
      <c r="L1069" s="32">
        <v>0</v>
      </c>
      <c r="M1069" s="32">
        <v>398</v>
      </c>
      <c r="N1069" s="32">
        <v>1397910.51</v>
      </c>
      <c r="O1069" s="32">
        <v>0</v>
      </c>
      <c r="P1069" s="32">
        <v>0</v>
      </c>
      <c r="Q1069" s="32">
        <v>0</v>
      </c>
      <c r="R1069" s="32">
        <v>0</v>
      </c>
      <c r="S1069" s="32">
        <v>0</v>
      </c>
      <c r="T1069" s="32">
        <v>0</v>
      </c>
      <c r="U1069" s="32">
        <v>0</v>
      </c>
      <c r="V1069" s="32">
        <v>0</v>
      </c>
      <c r="W1069" s="32">
        <v>0</v>
      </c>
      <c r="X1069" s="32">
        <v>0</v>
      </c>
      <c r="Y1069" s="32">
        <v>0</v>
      </c>
      <c r="Z1069" s="32">
        <v>0</v>
      </c>
      <c r="AA1069" s="32">
        <v>0</v>
      </c>
      <c r="AB1069" s="32">
        <v>0</v>
      </c>
      <c r="AC1069" s="32">
        <f>ROUND(N1069*1.5%,2)</f>
        <v>20968.66</v>
      </c>
      <c r="AD1069" s="32">
        <v>120000</v>
      </c>
      <c r="AE1069" s="32">
        <v>0</v>
      </c>
      <c r="AF1069" s="35">
        <v>2022</v>
      </c>
      <c r="AG1069" s="35">
        <v>2022</v>
      </c>
      <c r="AH1069" s="36">
        <v>2022</v>
      </c>
      <c r="AT1069" s="21" t="e">
        <f t="shared" si="498"/>
        <v>#N/A</v>
      </c>
    </row>
    <row r="1070" spans="1:46" ht="61.5" x14ac:dyDescent="0.85">
      <c r="B1070" s="25" t="s">
        <v>883</v>
      </c>
      <c r="C1070" s="110"/>
      <c r="D1070" s="32">
        <f>SUM(D1071:D1076)</f>
        <v>28415186.600000001</v>
      </c>
      <c r="E1070" s="32">
        <f t="shared" ref="E1070:AE1070" si="512">SUM(E1071:E1076)</f>
        <v>0</v>
      </c>
      <c r="F1070" s="32">
        <f t="shared" si="512"/>
        <v>0</v>
      </c>
      <c r="G1070" s="32">
        <f t="shared" si="512"/>
        <v>0</v>
      </c>
      <c r="H1070" s="32">
        <f t="shared" si="512"/>
        <v>0</v>
      </c>
      <c r="I1070" s="32">
        <f t="shared" si="512"/>
        <v>0</v>
      </c>
      <c r="J1070" s="32">
        <f t="shared" si="512"/>
        <v>0</v>
      </c>
      <c r="K1070" s="34">
        <f t="shared" si="512"/>
        <v>0</v>
      </c>
      <c r="L1070" s="32">
        <f t="shared" si="512"/>
        <v>0</v>
      </c>
      <c r="M1070" s="32">
        <f t="shared" si="512"/>
        <v>5684.5</v>
      </c>
      <c r="N1070" s="32">
        <f t="shared" si="512"/>
        <v>27019888.279999997</v>
      </c>
      <c r="O1070" s="32">
        <f t="shared" si="512"/>
        <v>0</v>
      </c>
      <c r="P1070" s="32">
        <f t="shared" si="512"/>
        <v>0</v>
      </c>
      <c r="Q1070" s="32">
        <f t="shared" si="512"/>
        <v>0</v>
      </c>
      <c r="R1070" s="32">
        <f t="shared" si="512"/>
        <v>0</v>
      </c>
      <c r="S1070" s="32">
        <f t="shared" si="512"/>
        <v>0</v>
      </c>
      <c r="T1070" s="32">
        <f t="shared" si="512"/>
        <v>0</v>
      </c>
      <c r="U1070" s="32">
        <f t="shared" si="512"/>
        <v>0</v>
      </c>
      <c r="V1070" s="32">
        <f t="shared" si="512"/>
        <v>0</v>
      </c>
      <c r="W1070" s="32">
        <f t="shared" si="512"/>
        <v>0</v>
      </c>
      <c r="X1070" s="32">
        <f t="shared" si="512"/>
        <v>0</v>
      </c>
      <c r="Y1070" s="32">
        <f t="shared" si="512"/>
        <v>0</v>
      </c>
      <c r="Z1070" s="32">
        <f t="shared" si="512"/>
        <v>0</v>
      </c>
      <c r="AA1070" s="32">
        <f t="shared" si="512"/>
        <v>0</v>
      </c>
      <c r="AB1070" s="32">
        <f t="shared" si="512"/>
        <v>0</v>
      </c>
      <c r="AC1070" s="32">
        <f t="shared" si="512"/>
        <v>405298.32000000007</v>
      </c>
      <c r="AD1070" s="32">
        <f t="shared" si="512"/>
        <v>990000</v>
      </c>
      <c r="AE1070" s="32">
        <f t="shared" si="512"/>
        <v>0</v>
      </c>
      <c r="AF1070" s="77" t="s">
        <v>801</v>
      </c>
      <c r="AG1070" s="77" t="s">
        <v>801</v>
      </c>
      <c r="AH1070" s="107" t="s">
        <v>801</v>
      </c>
      <c r="AT1070" s="21" t="e">
        <f t="shared" si="498"/>
        <v>#N/A</v>
      </c>
    </row>
    <row r="1071" spans="1:46" ht="61.5" x14ac:dyDescent="0.85">
      <c r="A1071" s="21">
        <v>1</v>
      </c>
      <c r="B1071" s="70">
        <f>SUBTOTAL(103,$A$896:A1071)</f>
        <v>152</v>
      </c>
      <c r="C1071" s="25" t="s">
        <v>136</v>
      </c>
      <c r="D1071" s="32">
        <f t="shared" ref="D1071:D1076" si="513">E1071+F1071+G1071+H1071+I1071+J1071+L1071+N1071+P1071+R1071+T1071+U1071+V1071+W1071+X1071+Y1071+Z1071+AA1071+AB1071+AC1071+AD1071+AE1071</f>
        <v>5875000</v>
      </c>
      <c r="E1071" s="32">
        <v>0</v>
      </c>
      <c r="F1071" s="32">
        <v>0</v>
      </c>
      <c r="G1071" s="32">
        <v>0</v>
      </c>
      <c r="H1071" s="32">
        <v>0</v>
      </c>
      <c r="I1071" s="32">
        <v>0</v>
      </c>
      <c r="J1071" s="32">
        <v>0</v>
      </c>
      <c r="K1071" s="34">
        <v>0</v>
      </c>
      <c r="L1071" s="32">
        <v>0</v>
      </c>
      <c r="M1071" s="32">
        <v>1175</v>
      </c>
      <c r="N1071" s="32">
        <v>5610837.4400000004</v>
      </c>
      <c r="O1071" s="32">
        <v>0</v>
      </c>
      <c r="P1071" s="32">
        <v>0</v>
      </c>
      <c r="Q1071" s="32">
        <v>0</v>
      </c>
      <c r="R1071" s="32">
        <v>0</v>
      </c>
      <c r="S1071" s="32">
        <v>0</v>
      </c>
      <c r="T1071" s="32">
        <v>0</v>
      </c>
      <c r="U1071" s="32">
        <v>0</v>
      </c>
      <c r="V1071" s="32">
        <v>0</v>
      </c>
      <c r="W1071" s="32">
        <v>0</v>
      </c>
      <c r="X1071" s="32">
        <v>0</v>
      </c>
      <c r="Y1071" s="32">
        <v>0</v>
      </c>
      <c r="Z1071" s="32">
        <v>0</v>
      </c>
      <c r="AA1071" s="32">
        <v>0</v>
      </c>
      <c r="AB1071" s="32">
        <v>0</v>
      </c>
      <c r="AC1071" s="32">
        <f t="shared" ref="AC1071:AC1076" si="514">ROUND(N1071*1.5%,2)</f>
        <v>84162.559999999998</v>
      </c>
      <c r="AD1071" s="32">
        <v>180000</v>
      </c>
      <c r="AE1071" s="32">
        <v>0</v>
      </c>
      <c r="AF1071" s="35">
        <v>2022</v>
      </c>
      <c r="AG1071" s="35">
        <v>2022</v>
      </c>
      <c r="AH1071" s="36">
        <v>2022</v>
      </c>
      <c r="AT1071" s="21" t="e">
        <f t="shared" si="498"/>
        <v>#N/A</v>
      </c>
    </row>
    <row r="1072" spans="1:46" ht="61.5" x14ac:dyDescent="0.85">
      <c r="A1072" s="21">
        <v>1</v>
      </c>
      <c r="B1072" s="70">
        <f>SUBTOTAL(103,$A$896:A1072)</f>
        <v>153</v>
      </c>
      <c r="C1072" s="25" t="s">
        <v>133</v>
      </c>
      <c r="D1072" s="32">
        <f t="shared" si="513"/>
        <v>4890386.5999999996</v>
      </c>
      <c r="E1072" s="32">
        <v>0</v>
      </c>
      <c r="F1072" s="32">
        <v>0</v>
      </c>
      <c r="G1072" s="32">
        <v>0</v>
      </c>
      <c r="H1072" s="32">
        <v>0</v>
      </c>
      <c r="I1072" s="32">
        <v>0</v>
      </c>
      <c r="J1072" s="32">
        <v>0</v>
      </c>
      <c r="K1072" s="34">
        <v>0</v>
      </c>
      <c r="L1072" s="32">
        <v>0</v>
      </c>
      <c r="M1072" s="32">
        <v>748</v>
      </c>
      <c r="N1072" s="32">
        <v>4670331.63</v>
      </c>
      <c r="O1072" s="32">
        <v>0</v>
      </c>
      <c r="P1072" s="32">
        <v>0</v>
      </c>
      <c r="Q1072" s="32">
        <v>0</v>
      </c>
      <c r="R1072" s="32">
        <v>0</v>
      </c>
      <c r="S1072" s="32">
        <v>0</v>
      </c>
      <c r="T1072" s="32">
        <v>0</v>
      </c>
      <c r="U1072" s="32">
        <v>0</v>
      </c>
      <c r="V1072" s="32">
        <v>0</v>
      </c>
      <c r="W1072" s="32">
        <v>0</v>
      </c>
      <c r="X1072" s="32">
        <v>0</v>
      </c>
      <c r="Y1072" s="32">
        <v>0</v>
      </c>
      <c r="Z1072" s="32">
        <v>0</v>
      </c>
      <c r="AA1072" s="32">
        <v>0</v>
      </c>
      <c r="AB1072" s="32">
        <v>0</v>
      </c>
      <c r="AC1072" s="32">
        <f t="shared" si="514"/>
        <v>70054.97</v>
      </c>
      <c r="AD1072" s="32">
        <v>150000</v>
      </c>
      <c r="AE1072" s="32">
        <v>0</v>
      </c>
      <c r="AF1072" s="35">
        <v>2022</v>
      </c>
      <c r="AG1072" s="35">
        <v>2022</v>
      </c>
      <c r="AH1072" s="36">
        <v>2022</v>
      </c>
      <c r="AT1072" s="21" t="e">
        <f t="shared" si="498"/>
        <v>#N/A</v>
      </c>
    </row>
    <row r="1073" spans="1:46" ht="61.5" x14ac:dyDescent="0.85">
      <c r="A1073" s="21">
        <v>1</v>
      </c>
      <c r="B1073" s="70">
        <f>SUBTOTAL(103,$A$896:A1073)</f>
        <v>154</v>
      </c>
      <c r="C1073" s="25" t="s">
        <v>138</v>
      </c>
      <c r="D1073" s="32">
        <f t="shared" si="513"/>
        <v>4125000</v>
      </c>
      <c r="E1073" s="32">
        <v>0</v>
      </c>
      <c r="F1073" s="32">
        <v>0</v>
      </c>
      <c r="G1073" s="32">
        <v>0</v>
      </c>
      <c r="H1073" s="32">
        <v>0</v>
      </c>
      <c r="I1073" s="32">
        <v>0</v>
      </c>
      <c r="J1073" s="32">
        <v>0</v>
      </c>
      <c r="K1073" s="34">
        <v>0</v>
      </c>
      <c r="L1073" s="32">
        <v>0</v>
      </c>
      <c r="M1073" s="32">
        <v>825</v>
      </c>
      <c r="N1073" s="32">
        <v>3916256.16</v>
      </c>
      <c r="O1073" s="32">
        <v>0</v>
      </c>
      <c r="P1073" s="32">
        <v>0</v>
      </c>
      <c r="Q1073" s="32">
        <v>0</v>
      </c>
      <c r="R1073" s="32">
        <v>0</v>
      </c>
      <c r="S1073" s="32">
        <v>0</v>
      </c>
      <c r="T1073" s="32">
        <v>0</v>
      </c>
      <c r="U1073" s="32">
        <v>0</v>
      </c>
      <c r="V1073" s="32">
        <v>0</v>
      </c>
      <c r="W1073" s="32">
        <v>0</v>
      </c>
      <c r="X1073" s="32">
        <v>0</v>
      </c>
      <c r="Y1073" s="32">
        <v>0</v>
      </c>
      <c r="Z1073" s="32">
        <v>0</v>
      </c>
      <c r="AA1073" s="32">
        <v>0</v>
      </c>
      <c r="AB1073" s="32">
        <v>0</v>
      </c>
      <c r="AC1073" s="32">
        <f t="shared" si="514"/>
        <v>58743.839999999997</v>
      </c>
      <c r="AD1073" s="32">
        <v>150000</v>
      </c>
      <c r="AE1073" s="32">
        <v>0</v>
      </c>
      <c r="AF1073" s="35">
        <v>2022</v>
      </c>
      <c r="AG1073" s="35">
        <v>2022</v>
      </c>
      <c r="AH1073" s="36">
        <v>2022</v>
      </c>
      <c r="AT1073" s="21" t="e">
        <f t="shared" si="498"/>
        <v>#N/A</v>
      </c>
    </row>
    <row r="1074" spans="1:46" ht="61.5" x14ac:dyDescent="0.85">
      <c r="A1074" s="21">
        <v>1</v>
      </c>
      <c r="B1074" s="70">
        <f>SUBTOTAL(103,$A$896:A1074)</f>
        <v>155</v>
      </c>
      <c r="C1074" s="25" t="s">
        <v>137</v>
      </c>
      <c r="D1074" s="32">
        <f t="shared" si="513"/>
        <v>5090360</v>
      </c>
      <c r="E1074" s="32">
        <v>0</v>
      </c>
      <c r="F1074" s="32">
        <v>0</v>
      </c>
      <c r="G1074" s="32">
        <v>0</v>
      </c>
      <c r="H1074" s="32">
        <v>0</v>
      </c>
      <c r="I1074" s="32">
        <v>0</v>
      </c>
      <c r="J1074" s="32">
        <v>0</v>
      </c>
      <c r="K1074" s="34">
        <v>0</v>
      </c>
      <c r="L1074" s="32">
        <v>0</v>
      </c>
      <c r="M1074" s="32">
        <v>1156.9000000000001</v>
      </c>
      <c r="N1074" s="32">
        <v>4837793.0999999996</v>
      </c>
      <c r="O1074" s="32">
        <v>0</v>
      </c>
      <c r="P1074" s="32">
        <v>0</v>
      </c>
      <c r="Q1074" s="32">
        <v>0</v>
      </c>
      <c r="R1074" s="32">
        <v>0</v>
      </c>
      <c r="S1074" s="32">
        <v>0</v>
      </c>
      <c r="T1074" s="32">
        <v>0</v>
      </c>
      <c r="U1074" s="32">
        <v>0</v>
      </c>
      <c r="V1074" s="32">
        <v>0</v>
      </c>
      <c r="W1074" s="32">
        <v>0</v>
      </c>
      <c r="X1074" s="32">
        <v>0</v>
      </c>
      <c r="Y1074" s="32">
        <v>0</v>
      </c>
      <c r="Z1074" s="32">
        <v>0</v>
      </c>
      <c r="AA1074" s="32">
        <v>0</v>
      </c>
      <c r="AB1074" s="32">
        <v>0</v>
      </c>
      <c r="AC1074" s="32">
        <f t="shared" si="514"/>
        <v>72566.899999999994</v>
      </c>
      <c r="AD1074" s="32">
        <v>180000</v>
      </c>
      <c r="AE1074" s="32">
        <v>0</v>
      </c>
      <c r="AF1074" s="35">
        <v>2022</v>
      </c>
      <c r="AG1074" s="35">
        <v>2022</v>
      </c>
      <c r="AH1074" s="36">
        <v>2022</v>
      </c>
      <c r="AT1074" s="21" t="e">
        <f t="shared" si="498"/>
        <v>#N/A</v>
      </c>
    </row>
    <row r="1075" spans="1:46" ht="61.5" x14ac:dyDescent="0.85">
      <c r="A1075" s="21">
        <v>1</v>
      </c>
      <c r="B1075" s="70">
        <f>SUBTOTAL(103,$A$896:A1075)</f>
        <v>156</v>
      </c>
      <c r="C1075" s="25" t="s">
        <v>134</v>
      </c>
      <c r="D1075" s="32">
        <f t="shared" si="513"/>
        <v>5035000</v>
      </c>
      <c r="E1075" s="32">
        <v>0</v>
      </c>
      <c r="F1075" s="32">
        <v>0</v>
      </c>
      <c r="G1075" s="32">
        <v>0</v>
      </c>
      <c r="H1075" s="32">
        <v>0</v>
      </c>
      <c r="I1075" s="32">
        <v>0</v>
      </c>
      <c r="J1075" s="32">
        <v>0</v>
      </c>
      <c r="K1075" s="34">
        <v>0</v>
      </c>
      <c r="L1075" s="32">
        <v>0</v>
      </c>
      <c r="M1075" s="32">
        <v>1007</v>
      </c>
      <c r="N1075" s="32">
        <v>4783251.2300000004</v>
      </c>
      <c r="O1075" s="32">
        <v>0</v>
      </c>
      <c r="P1075" s="32">
        <v>0</v>
      </c>
      <c r="Q1075" s="32">
        <v>0</v>
      </c>
      <c r="R1075" s="32">
        <v>0</v>
      </c>
      <c r="S1075" s="32">
        <v>0</v>
      </c>
      <c r="T1075" s="32">
        <v>0</v>
      </c>
      <c r="U1075" s="32">
        <v>0</v>
      </c>
      <c r="V1075" s="32">
        <v>0</v>
      </c>
      <c r="W1075" s="32">
        <v>0</v>
      </c>
      <c r="X1075" s="32">
        <v>0</v>
      </c>
      <c r="Y1075" s="32">
        <v>0</v>
      </c>
      <c r="Z1075" s="32">
        <v>0</v>
      </c>
      <c r="AA1075" s="32">
        <v>0</v>
      </c>
      <c r="AB1075" s="32">
        <v>0</v>
      </c>
      <c r="AC1075" s="32">
        <f t="shared" si="514"/>
        <v>71748.77</v>
      </c>
      <c r="AD1075" s="32">
        <v>180000</v>
      </c>
      <c r="AE1075" s="32">
        <v>0</v>
      </c>
      <c r="AF1075" s="35">
        <v>2022</v>
      </c>
      <c r="AG1075" s="35">
        <v>2022</v>
      </c>
      <c r="AH1075" s="36">
        <v>2022</v>
      </c>
      <c r="AT1075" s="21" t="e">
        <f t="shared" si="498"/>
        <v>#N/A</v>
      </c>
    </row>
    <row r="1076" spans="1:46" ht="61.5" x14ac:dyDescent="0.85">
      <c r="A1076" s="21">
        <v>1</v>
      </c>
      <c r="B1076" s="70">
        <f>SUBTOTAL(103,$A$896:A1076)</f>
        <v>157</v>
      </c>
      <c r="C1076" s="25" t="s">
        <v>135</v>
      </c>
      <c r="D1076" s="32">
        <f t="shared" si="513"/>
        <v>3399440</v>
      </c>
      <c r="E1076" s="32">
        <v>0</v>
      </c>
      <c r="F1076" s="32">
        <v>0</v>
      </c>
      <c r="G1076" s="32">
        <v>0</v>
      </c>
      <c r="H1076" s="32">
        <v>0</v>
      </c>
      <c r="I1076" s="32">
        <v>0</v>
      </c>
      <c r="J1076" s="32">
        <v>0</v>
      </c>
      <c r="K1076" s="34">
        <v>0</v>
      </c>
      <c r="L1076" s="32">
        <v>0</v>
      </c>
      <c r="M1076" s="32">
        <v>772.6</v>
      </c>
      <c r="N1076" s="32">
        <v>3201418.72</v>
      </c>
      <c r="O1076" s="32">
        <v>0</v>
      </c>
      <c r="P1076" s="32">
        <v>0</v>
      </c>
      <c r="Q1076" s="32">
        <v>0</v>
      </c>
      <c r="R1076" s="32">
        <v>0</v>
      </c>
      <c r="S1076" s="32">
        <v>0</v>
      </c>
      <c r="T1076" s="32">
        <v>0</v>
      </c>
      <c r="U1076" s="32">
        <v>0</v>
      </c>
      <c r="V1076" s="32">
        <v>0</v>
      </c>
      <c r="W1076" s="32">
        <v>0</v>
      </c>
      <c r="X1076" s="32">
        <v>0</v>
      </c>
      <c r="Y1076" s="32">
        <v>0</v>
      </c>
      <c r="Z1076" s="32">
        <v>0</v>
      </c>
      <c r="AA1076" s="32">
        <v>0</v>
      </c>
      <c r="AB1076" s="32">
        <v>0</v>
      </c>
      <c r="AC1076" s="32">
        <f t="shared" si="514"/>
        <v>48021.279999999999</v>
      </c>
      <c r="AD1076" s="32">
        <v>150000</v>
      </c>
      <c r="AE1076" s="32">
        <v>0</v>
      </c>
      <c r="AF1076" s="35">
        <v>2022</v>
      </c>
      <c r="AG1076" s="35">
        <v>2022</v>
      </c>
      <c r="AH1076" s="36">
        <v>2022</v>
      </c>
      <c r="AT1076" s="21" t="e">
        <f t="shared" si="498"/>
        <v>#N/A</v>
      </c>
    </row>
    <row r="1077" spans="1:46" ht="61.5" x14ac:dyDescent="0.85">
      <c r="B1077" s="25" t="s">
        <v>889</v>
      </c>
      <c r="C1077" s="110"/>
      <c r="D1077" s="32">
        <f>D1078+D1079</f>
        <v>5777967.8699999992</v>
      </c>
      <c r="E1077" s="32">
        <f t="shared" ref="E1077:AE1077" si="515">E1078+E1079</f>
        <v>0</v>
      </c>
      <c r="F1077" s="32">
        <f t="shared" si="515"/>
        <v>0</v>
      </c>
      <c r="G1077" s="32">
        <f t="shared" si="515"/>
        <v>0</v>
      </c>
      <c r="H1077" s="32">
        <f t="shared" si="515"/>
        <v>0</v>
      </c>
      <c r="I1077" s="32">
        <f t="shared" si="515"/>
        <v>0</v>
      </c>
      <c r="J1077" s="32">
        <f t="shared" si="515"/>
        <v>0</v>
      </c>
      <c r="K1077" s="34">
        <f t="shared" si="515"/>
        <v>0</v>
      </c>
      <c r="L1077" s="32">
        <f t="shared" si="515"/>
        <v>0</v>
      </c>
      <c r="M1077" s="32">
        <f t="shared" si="515"/>
        <v>630</v>
      </c>
      <c r="N1077" s="32">
        <f t="shared" si="515"/>
        <v>3258269.85</v>
      </c>
      <c r="O1077" s="32">
        <f t="shared" si="515"/>
        <v>0</v>
      </c>
      <c r="P1077" s="32">
        <f t="shared" si="515"/>
        <v>0</v>
      </c>
      <c r="Q1077" s="32">
        <f t="shared" si="515"/>
        <v>437</v>
      </c>
      <c r="R1077" s="32">
        <f t="shared" si="515"/>
        <v>2158447.2599999998</v>
      </c>
      <c r="S1077" s="32">
        <f t="shared" si="515"/>
        <v>0</v>
      </c>
      <c r="T1077" s="32">
        <f t="shared" si="515"/>
        <v>0</v>
      </c>
      <c r="U1077" s="32">
        <f t="shared" si="515"/>
        <v>0</v>
      </c>
      <c r="V1077" s="32">
        <f t="shared" si="515"/>
        <v>0</v>
      </c>
      <c r="W1077" s="32">
        <f t="shared" si="515"/>
        <v>0</v>
      </c>
      <c r="X1077" s="32">
        <f t="shared" si="515"/>
        <v>0</v>
      </c>
      <c r="Y1077" s="32">
        <f t="shared" si="515"/>
        <v>0</v>
      </c>
      <c r="Z1077" s="32">
        <f t="shared" si="515"/>
        <v>0</v>
      </c>
      <c r="AA1077" s="32">
        <f t="shared" si="515"/>
        <v>0</v>
      </c>
      <c r="AB1077" s="32">
        <f t="shared" si="515"/>
        <v>0</v>
      </c>
      <c r="AC1077" s="32">
        <f t="shared" si="515"/>
        <v>81250.760000000009</v>
      </c>
      <c r="AD1077" s="32">
        <f t="shared" si="515"/>
        <v>280000</v>
      </c>
      <c r="AE1077" s="32">
        <f t="shared" si="515"/>
        <v>0</v>
      </c>
      <c r="AF1077" s="113" t="s">
        <v>801</v>
      </c>
      <c r="AG1077" s="113" t="s">
        <v>801</v>
      </c>
      <c r="AH1077" s="114" t="s">
        <v>801</v>
      </c>
      <c r="AT1077" s="21" t="e">
        <f t="shared" si="498"/>
        <v>#N/A</v>
      </c>
    </row>
    <row r="1078" spans="1:46" ht="61.5" x14ac:dyDescent="0.85">
      <c r="A1078" s="21">
        <v>1</v>
      </c>
      <c r="B1078" s="70">
        <f>SUBTOTAL(103,$A$896:A1078)</f>
        <v>158</v>
      </c>
      <c r="C1078" s="25" t="s">
        <v>183</v>
      </c>
      <c r="D1078" s="32">
        <f t="shared" ref="D1078:D1079" si="516">E1078+F1078+G1078+H1078+I1078+J1078+L1078+N1078+P1078+R1078+T1078+U1078+V1078+W1078+X1078+Y1078+Z1078+AA1078+AB1078+AC1078+AD1078+AE1078</f>
        <v>3457143.9</v>
      </c>
      <c r="E1078" s="32">
        <v>0</v>
      </c>
      <c r="F1078" s="32">
        <v>0</v>
      </c>
      <c r="G1078" s="32">
        <v>0</v>
      </c>
      <c r="H1078" s="32">
        <v>0</v>
      </c>
      <c r="I1078" s="32">
        <v>0</v>
      </c>
      <c r="J1078" s="32">
        <v>0</v>
      </c>
      <c r="K1078" s="34">
        <v>0</v>
      </c>
      <c r="L1078" s="32">
        <v>0</v>
      </c>
      <c r="M1078" s="32">
        <v>630</v>
      </c>
      <c r="N1078" s="32">
        <v>3258269.85</v>
      </c>
      <c r="O1078" s="32">
        <v>0</v>
      </c>
      <c r="P1078" s="32">
        <v>0</v>
      </c>
      <c r="Q1078" s="32">
        <v>0</v>
      </c>
      <c r="R1078" s="32">
        <v>0</v>
      </c>
      <c r="S1078" s="32">
        <v>0</v>
      </c>
      <c r="T1078" s="32">
        <v>0</v>
      </c>
      <c r="U1078" s="32">
        <v>0</v>
      </c>
      <c r="V1078" s="32">
        <v>0</v>
      </c>
      <c r="W1078" s="32">
        <v>0</v>
      </c>
      <c r="X1078" s="32">
        <v>0</v>
      </c>
      <c r="Y1078" s="32">
        <v>0</v>
      </c>
      <c r="Z1078" s="32">
        <v>0</v>
      </c>
      <c r="AA1078" s="32">
        <v>0</v>
      </c>
      <c r="AB1078" s="32">
        <v>0</v>
      </c>
      <c r="AC1078" s="32">
        <f>ROUND(N1078*1.5%,2)</f>
        <v>48874.05</v>
      </c>
      <c r="AD1078" s="32">
        <v>150000</v>
      </c>
      <c r="AE1078" s="32">
        <v>0</v>
      </c>
      <c r="AF1078" s="35">
        <v>2022</v>
      </c>
      <c r="AG1078" s="35">
        <v>2022</v>
      </c>
      <c r="AH1078" s="36">
        <v>2022</v>
      </c>
      <c r="AT1078" s="21" t="e">
        <f t="shared" si="498"/>
        <v>#N/A</v>
      </c>
    </row>
    <row r="1079" spans="1:46" ht="61.5" x14ac:dyDescent="0.85">
      <c r="A1079" s="21">
        <v>1</v>
      </c>
      <c r="B1079" s="70">
        <f>SUBTOTAL(103,$A$896:A1079)</f>
        <v>159</v>
      </c>
      <c r="C1079" s="25" t="s">
        <v>184</v>
      </c>
      <c r="D1079" s="32">
        <f t="shared" si="516"/>
        <v>2320823.9699999997</v>
      </c>
      <c r="E1079" s="32">
        <v>0</v>
      </c>
      <c r="F1079" s="32">
        <v>0</v>
      </c>
      <c r="G1079" s="32">
        <v>0</v>
      </c>
      <c r="H1079" s="32">
        <v>0</v>
      </c>
      <c r="I1079" s="32">
        <v>0</v>
      </c>
      <c r="J1079" s="32">
        <v>0</v>
      </c>
      <c r="K1079" s="34">
        <v>0</v>
      </c>
      <c r="L1079" s="32">
        <v>0</v>
      </c>
      <c r="M1079" s="32">
        <v>0</v>
      </c>
      <c r="N1079" s="32">
        <v>0</v>
      </c>
      <c r="O1079" s="32">
        <v>0</v>
      </c>
      <c r="P1079" s="32">
        <v>0</v>
      </c>
      <c r="Q1079" s="32">
        <v>437</v>
      </c>
      <c r="R1079" s="32">
        <v>2158447.2599999998</v>
      </c>
      <c r="S1079" s="32">
        <v>0</v>
      </c>
      <c r="T1079" s="32">
        <v>0</v>
      </c>
      <c r="U1079" s="32">
        <v>0</v>
      </c>
      <c r="V1079" s="32">
        <v>0</v>
      </c>
      <c r="W1079" s="32">
        <v>0</v>
      </c>
      <c r="X1079" s="32">
        <v>0</v>
      </c>
      <c r="Y1079" s="32">
        <v>0</v>
      </c>
      <c r="Z1079" s="32">
        <v>0</v>
      </c>
      <c r="AA1079" s="32">
        <v>0</v>
      </c>
      <c r="AB1079" s="32">
        <v>0</v>
      </c>
      <c r="AC1079" s="32">
        <f t="shared" ref="AC1079" si="517">ROUND(R1079*1.5%,2)</f>
        <v>32376.71</v>
      </c>
      <c r="AD1079" s="32">
        <v>130000</v>
      </c>
      <c r="AE1079" s="32">
        <v>0</v>
      </c>
      <c r="AF1079" s="35">
        <v>2022</v>
      </c>
      <c r="AG1079" s="35">
        <v>2022</v>
      </c>
      <c r="AH1079" s="36">
        <v>2022</v>
      </c>
      <c r="AT1079" s="21" t="e">
        <f t="shared" si="498"/>
        <v>#N/A</v>
      </c>
    </row>
    <row r="1080" spans="1:46" ht="61.5" x14ac:dyDescent="0.85">
      <c r="B1080" s="25" t="s">
        <v>886</v>
      </c>
      <c r="C1080" s="25"/>
      <c r="D1080" s="32">
        <f>D1081+D1082+D1083</f>
        <v>4715781.71</v>
      </c>
      <c r="E1080" s="32">
        <f t="shared" ref="E1080:AE1080" si="518">E1081+E1082+E1083</f>
        <v>0</v>
      </c>
      <c r="F1080" s="32">
        <f t="shared" si="518"/>
        <v>0</v>
      </c>
      <c r="G1080" s="32">
        <f t="shared" si="518"/>
        <v>0</v>
      </c>
      <c r="H1080" s="32">
        <f t="shared" si="518"/>
        <v>0</v>
      </c>
      <c r="I1080" s="32">
        <f t="shared" si="518"/>
        <v>0</v>
      </c>
      <c r="J1080" s="32">
        <f t="shared" si="518"/>
        <v>0</v>
      </c>
      <c r="K1080" s="34">
        <f t="shared" si="518"/>
        <v>0</v>
      </c>
      <c r="L1080" s="32">
        <f t="shared" si="518"/>
        <v>0</v>
      </c>
      <c r="M1080" s="32">
        <f t="shared" si="518"/>
        <v>543</v>
      </c>
      <c r="N1080" s="32">
        <f t="shared" si="518"/>
        <v>2724828.46</v>
      </c>
      <c r="O1080" s="32">
        <f t="shared" si="518"/>
        <v>0</v>
      </c>
      <c r="P1080" s="32">
        <f t="shared" si="518"/>
        <v>0</v>
      </c>
      <c r="Q1080" s="32">
        <f t="shared" si="518"/>
        <v>322</v>
      </c>
      <c r="R1080" s="32">
        <f t="shared" si="518"/>
        <v>1586286.52</v>
      </c>
      <c r="S1080" s="32">
        <f t="shared" si="518"/>
        <v>0</v>
      </c>
      <c r="T1080" s="32">
        <f t="shared" si="518"/>
        <v>0</v>
      </c>
      <c r="U1080" s="32">
        <f t="shared" si="518"/>
        <v>0</v>
      </c>
      <c r="V1080" s="32">
        <f t="shared" si="518"/>
        <v>0</v>
      </c>
      <c r="W1080" s="32">
        <f t="shared" si="518"/>
        <v>0</v>
      </c>
      <c r="X1080" s="32">
        <f t="shared" si="518"/>
        <v>0</v>
      </c>
      <c r="Y1080" s="32">
        <f t="shared" si="518"/>
        <v>0</v>
      </c>
      <c r="Z1080" s="32">
        <f t="shared" si="518"/>
        <v>0</v>
      </c>
      <c r="AA1080" s="32">
        <f t="shared" si="518"/>
        <v>0</v>
      </c>
      <c r="AB1080" s="32">
        <f t="shared" si="518"/>
        <v>0</v>
      </c>
      <c r="AC1080" s="32">
        <f t="shared" si="518"/>
        <v>64666.729999999996</v>
      </c>
      <c r="AD1080" s="32">
        <f t="shared" si="518"/>
        <v>340000</v>
      </c>
      <c r="AE1080" s="32">
        <f t="shared" si="518"/>
        <v>0</v>
      </c>
      <c r="AF1080" s="113" t="s">
        <v>801</v>
      </c>
      <c r="AG1080" s="113" t="s">
        <v>801</v>
      </c>
      <c r="AH1080" s="114" t="s">
        <v>801</v>
      </c>
      <c r="AT1080" s="21" t="e">
        <f t="shared" si="498"/>
        <v>#N/A</v>
      </c>
    </row>
    <row r="1081" spans="1:46" ht="61.5" x14ac:dyDescent="0.85">
      <c r="A1081" s="21">
        <v>1</v>
      </c>
      <c r="B1081" s="70">
        <f>SUBTOTAL(103,$A$896:A1081)</f>
        <v>160</v>
      </c>
      <c r="C1081" s="25" t="s">
        <v>843</v>
      </c>
      <c r="D1081" s="32">
        <f t="shared" ref="D1081:D1083" si="519">E1081+F1081+G1081+H1081+I1081+J1081+L1081+N1081+P1081+R1081+T1081+U1081+V1081+W1081+X1081+Y1081+Z1081+AA1081+AB1081+AC1081+AD1081+AE1081</f>
        <v>1710080.82</v>
      </c>
      <c r="E1081" s="32">
        <v>0</v>
      </c>
      <c r="F1081" s="32">
        <v>0</v>
      </c>
      <c r="G1081" s="32">
        <v>0</v>
      </c>
      <c r="H1081" s="32">
        <v>0</v>
      </c>
      <c r="I1081" s="32">
        <v>0</v>
      </c>
      <c r="J1081" s="32">
        <v>0</v>
      </c>
      <c r="K1081" s="34">
        <v>0</v>
      </c>
      <c r="L1081" s="32">
        <v>0</v>
      </c>
      <c r="M1081" s="32">
        <v>0</v>
      </c>
      <c r="N1081" s="32">
        <v>0</v>
      </c>
      <c r="O1081" s="32">
        <v>0</v>
      </c>
      <c r="P1081" s="32">
        <v>0</v>
      </c>
      <c r="Q1081" s="32">
        <v>322</v>
      </c>
      <c r="R1081" s="32">
        <v>1586286.52</v>
      </c>
      <c r="S1081" s="32">
        <v>0</v>
      </c>
      <c r="T1081" s="32">
        <v>0</v>
      </c>
      <c r="U1081" s="32">
        <v>0</v>
      </c>
      <c r="V1081" s="32">
        <v>0</v>
      </c>
      <c r="W1081" s="32">
        <v>0</v>
      </c>
      <c r="X1081" s="32">
        <v>0</v>
      </c>
      <c r="Y1081" s="32">
        <v>0</v>
      </c>
      <c r="Z1081" s="32">
        <v>0</v>
      </c>
      <c r="AA1081" s="32">
        <v>0</v>
      </c>
      <c r="AB1081" s="32">
        <v>0</v>
      </c>
      <c r="AC1081" s="32">
        <f t="shared" ref="AC1081" si="520">ROUND(R1081*1.5%,2)</f>
        <v>23794.3</v>
      </c>
      <c r="AD1081" s="32">
        <v>100000</v>
      </c>
      <c r="AE1081" s="32">
        <v>0</v>
      </c>
      <c r="AF1081" s="35">
        <v>2022</v>
      </c>
      <c r="AG1081" s="35">
        <v>2022</v>
      </c>
      <c r="AH1081" s="36">
        <v>2022</v>
      </c>
      <c r="AT1081" s="21" t="e">
        <f t="shared" si="498"/>
        <v>#N/A</v>
      </c>
    </row>
    <row r="1082" spans="1:46" ht="61.5" x14ac:dyDescent="0.85">
      <c r="A1082" s="21">
        <v>1</v>
      </c>
      <c r="B1082" s="70">
        <f>SUBTOTAL(103,$A$896:A1082)</f>
        <v>161</v>
      </c>
      <c r="C1082" s="25" t="s">
        <v>188</v>
      </c>
      <c r="D1082" s="32">
        <f t="shared" si="519"/>
        <v>1452729.9</v>
      </c>
      <c r="E1082" s="32">
        <v>0</v>
      </c>
      <c r="F1082" s="32">
        <v>0</v>
      </c>
      <c r="G1082" s="32">
        <v>0</v>
      </c>
      <c r="H1082" s="32">
        <v>0</v>
      </c>
      <c r="I1082" s="32">
        <v>0</v>
      </c>
      <c r="J1082" s="32">
        <v>0</v>
      </c>
      <c r="K1082" s="34">
        <v>0</v>
      </c>
      <c r="L1082" s="32">
        <v>0</v>
      </c>
      <c r="M1082" s="32">
        <v>260</v>
      </c>
      <c r="N1082" s="32">
        <v>1313034.3799999999</v>
      </c>
      <c r="O1082" s="32">
        <v>0</v>
      </c>
      <c r="P1082" s="32">
        <v>0</v>
      </c>
      <c r="Q1082" s="32">
        <v>0</v>
      </c>
      <c r="R1082" s="32">
        <v>0</v>
      </c>
      <c r="S1082" s="32">
        <v>0</v>
      </c>
      <c r="T1082" s="32">
        <v>0</v>
      </c>
      <c r="U1082" s="32">
        <v>0</v>
      </c>
      <c r="V1082" s="32">
        <v>0</v>
      </c>
      <c r="W1082" s="32">
        <v>0</v>
      </c>
      <c r="X1082" s="32">
        <v>0</v>
      </c>
      <c r="Y1082" s="32">
        <v>0</v>
      </c>
      <c r="Z1082" s="32">
        <v>0</v>
      </c>
      <c r="AA1082" s="32">
        <v>0</v>
      </c>
      <c r="AB1082" s="32">
        <v>0</v>
      </c>
      <c r="AC1082" s="32">
        <f t="shared" ref="AC1082:AC1083" si="521">ROUND(N1082*1.5%,2)</f>
        <v>19695.52</v>
      </c>
      <c r="AD1082" s="32">
        <v>120000</v>
      </c>
      <c r="AE1082" s="32">
        <v>0</v>
      </c>
      <c r="AF1082" s="35">
        <v>2022</v>
      </c>
      <c r="AG1082" s="35">
        <v>2022</v>
      </c>
      <c r="AH1082" s="36">
        <v>2022</v>
      </c>
      <c r="AT1082" s="21" t="e">
        <f t="shared" si="498"/>
        <v>#N/A</v>
      </c>
    </row>
    <row r="1083" spans="1:46" ht="61.5" x14ac:dyDescent="0.85">
      <c r="A1083" s="21">
        <v>1</v>
      </c>
      <c r="B1083" s="70">
        <f>SUBTOTAL(103,$A$896:A1083)</f>
        <v>162</v>
      </c>
      <c r="C1083" s="25" t="s">
        <v>185</v>
      </c>
      <c r="D1083" s="32">
        <f t="shared" si="519"/>
        <v>1552970.99</v>
      </c>
      <c r="E1083" s="32">
        <v>0</v>
      </c>
      <c r="F1083" s="32">
        <v>0</v>
      </c>
      <c r="G1083" s="32">
        <v>0</v>
      </c>
      <c r="H1083" s="32">
        <v>0</v>
      </c>
      <c r="I1083" s="32">
        <v>0</v>
      </c>
      <c r="J1083" s="32">
        <v>0</v>
      </c>
      <c r="K1083" s="34">
        <v>0</v>
      </c>
      <c r="L1083" s="32">
        <v>0</v>
      </c>
      <c r="M1083" s="32">
        <v>283</v>
      </c>
      <c r="N1083" s="32">
        <v>1411794.08</v>
      </c>
      <c r="O1083" s="32">
        <v>0</v>
      </c>
      <c r="P1083" s="32">
        <v>0</v>
      </c>
      <c r="Q1083" s="32">
        <v>0</v>
      </c>
      <c r="R1083" s="32">
        <v>0</v>
      </c>
      <c r="S1083" s="32">
        <v>0</v>
      </c>
      <c r="T1083" s="32">
        <v>0</v>
      </c>
      <c r="U1083" s="32">
        <v>0</v>
      </c>
      <c r="V1083" s="32">
        <v>0</v>
      </c>
      <c r="W1083" s="32">
        <v>0</v>
      </c>
      <c r="X1083" s="32">
        <v>0</v>
      </c>
      <c r="Y1083" s="32">
        <v>0</v>
      </c>
      <c r="Z1083" s="32">
        <v>0</v>
      </c>
      <c r="AA1083" s="32">
        <v>0</v>
      </c>
      <c r="AB1083" s="32">
        <v>0</v>
      </c>
      <c r="AC1083" s="32">
        <f t="shared" si="521"/>
        <v>21176.91</v>
      </c>
      <c r="AD1083" s="32">
        <v>120000</v>
      </c>
      <c r="AE1083" s="32">
        <v>0</v>
      </c>
      <c r="AF1083" s="35">
        <v>2022</v>
      </c>
      <c r="AG1083" s="35">
        <v>2022</v>
      </c>
      <c r="AH1083" s="36">
        <v>2022</v>
      </c>
      <c r="AT1083" s="21" t="e">
        <f t="shared" si="498"/>
        <v>#N/A</v>
      </c>
    </row>
    <row r="1084" spans="1:46" ht="61.5" x14ac:dyDescent="0.85">
      <c r="B1084" s="25" t="s">
        <v>887</v>
      </c>
      <c r="C1084" s="25"/>
      <c r="D1084" s="32">
        <f>D1085+D1086</f>
        <v>2590114.16</v>
      </c>
      <c r="E1084" s="32">
        <f t="shared" ref="E1084:AE1084" si="522">E1085+E1086</f>
        <v>0</v>
      </c>
      <c r="F1084" s="32">
        <f t="shared" si="522"/>
        <v>0</v>
      </c>
      <c r="G1084" s="32">
        <f t="shared" si="522"/>
        <v>0</v>
      </c>
      <c r="H1084" s="32">
        <f t="shared" si="522"/>
        <v>0</v>
      </c>
      <c r="I1084" s="32">
        <f t="shared" si="522"/>
        <v>0</v>
      </c>
      <c r="J1084" s="32">
        <f t="shared" si="522"/>
        <v>0</v>
      </c>
      <c r="K1084" s="34">
        <f t="shared" si="522"/>
        <v>0</v>
      </c>
      <c r="L1084" s="32">
        <f t="shared" si="522"/>
        <v>0</v>
      </c>
      <c r="M1084" s="32">
        <f t="shared" si="522"/>
        <v>472</v>
      </c>
      <c r="N1084" s="32">
        <f t="shared" si="522"/>
        <v>2315383.41</v>
      </c>
      <c r="O1084" s="32">
        <f t="shared" si="522"/>
        <v>0</v>
      </c>
      <c r="P1084" s="32">
        <f t="shared" si="522"/>
        <v>0</v>
      </c>
      <c r="Q1084" s="32">
        <f t="shared" si="522"/>
        <v>0</v>
      </c>
      <c r="R1084" s="32">
        <f t="shared" si="522"/>
        <v>0</v>
      </c>
      <c r="S1084" s="32">
        <f t="shared" si="522"/>
        <v>0</v>
      </c>
      <c r="T1084" s="32">
        <f t="shared" si="522"/>
        <v>0</v>
      </c>
      <c r="U1084" s="32">
        <f t="shared" si="522"/>
        <v>0</v>
      </c>
      <c r="V1084" s="32">
        <f t="shared" si="522"/>
        <v>0</v>
      </c>
      <c r="W1084" s="32">
        <f t="shared" si="522"/>
        <v>0</v>
      </c>
      <c r="X1084" s="32">
        <f t="shared" si="522"/>
        <v>0</v>
      </c>
      <c r="Y1084" s="32">
        <f t="shared" si="522"/>
        <v>0</v>
      </c>
      <c r="Z1084" s="32">
        <f t="shared" si="522"/>
        <v>0</v>
      </c>
      <c r="AA1084" s="32">
        <f t="shared" si="522"/>
        <v>0</v>
      </c>
      <c r="AB1084" s="32">
        <f t="shared" si="522"/>
        <v>0</v>
      </c>
      <c r="AC1084" s="32">
        <f t="shared" si="522"/>
        <v>34730.75</v>
      </c>
      <c r="AD1084" s="32">
        <f t="shared" si="522"/>
        <v>240000</v>
      </c>
      <c r="AE1084" s="32">
        <f t="shared" si="522"/>
        <v>0</v>
      </c>
      <c r="AF1084" s="113" t="s">
        <v>801</v>
      </c>
      <c r="AG1084" s="113" t="s">
        <v>801</v>
      </c>
      <c r="AH1084" s="114" t="s">
        <v>801</v>
      </c>
      <c r="AT1084" s="21" t="e">
        <f t="shared" si="498"/>
        <v>#N/A</v>
      </c>
    </row>
    <row r="1085" spans="1:46" ht="61.5" x14ac:dyDescent="0.85">
      <c r="A1085" s="21">
        <v>1</v>
      </c>
      <c r="B1085" s="70">
        <f>SUBTOTAL(103,$A$896:A1085)</f>
        <v>163</v>
      </c>
      <c r="C1085" s="25" t="s">
        <v>186</v>
      </c>
      <c r="D1085" s="32">
        <f t="shared" ref="D1085:D1086" si="523">E1085+F1085+G1085+H1085+I1085+J1085+L1085+N1085+P1085+R1085+T1085+U1085+V1085+W1085+X1085+Y1085+Z1085+AA1085+AB1085+AC1085+AD1085+AE1085</f>
        <v>1262131.9000000001</v>
      </c>
      <c r="E1085" s="32">
        <v>0</v>
      </c>
      <c r="F1085" s="32">
        <v>0</v>
      </c>
      <c r="G1085" s="32">
        <v>0</v>
      </c>
      <c r="H1085" s="32">
        <v>0</v>
      </c>
      <c r="I1085" s="32">
        <v>0</v>
      </c>
      <c r="J1085" s="32">
        <v>0</v>
      </c>
      <c r="K1085" s="34">
        <v>0</v>
      </c>
      <c r="L1085" s="32">
        <v>0</v>
      </c>
      <c r="M1085" s="32">
        <v>230</v>
      </c>
      <c r="N1085" s="32">
        <v>1125253.1000000001</v>
      </c>
      <c r="O1085" s="32">
        <v>0</v>
      </c>
      <c r="P1085" s="32">
        <v>0</v>
      </c>
      <c r="Q1085" s="32">
        <v>0</v>
      </c>
      <c r="R1085" s="32">
        <v>0</v>
      </c>
      <c r="S1085" s="32">
        <v>0</v>
      </c>
      <c r="T1085" s="32">
        <v>0</v>
      </c>
      <c r="U1085" s="32">
        <v>0</v>
      </c>
      <c r="V1085" s="32">
        <v>0</v>
      </c>
      <c r="W1085" s="32">
        <v>0</v>
      </c>
      <c r="X1085" s="32">
        <v>0</v>
      </c>
      <c r="Y1085" s="32">
        <v>0</v>
      </c>
      <c r="Z1085" s="32">
        <v>0</v>
      </c>
      <c r="AA1085" s="32">
        <v>0</v>
      </c>
      <c r="AB1085" s="32">
        <v>0</v>
      </c>
      <c r="AC1085" s="32">
        <f t="shared" ref="AC1085:AC1086" si="524">ROUND(N1085*1.5%,2)</f>
        <v>16878.8</v>
      </c>
      <c r="AD1085" s="32">
        <v>120000</v>
      </c>
      <c r="AE1085" s="32">
        <v>0</v>
      </c>
      <c r="AF1085" s="35">
        <v>2022</v>
      </c>
      <c r="AG1085" s="35">
        <v>2022</v>
      </c>
      <c r="AH1085" s="36">
        <v>2022</v>
      </c>
      <c r="AT1085" s="21" t="e">
        <f t="shared" si="498"/>
        <v>#N/A</v>
      </c>
    </row>
    <row r="1086" spans="1:46" ht="61.5" x14ac:dyDescent="0.85">
      <c r="A1086" s="21">
        <v>1</v>
      </c>
      <c r="B1086" s="70">
        <f>SUBTOTAL(103,$A$896:A1086)</f>
        <v>164</v>
      </c>
      <c r="C1086" s="25" t="s">
        <v>182</v>
      </c>
      <c r="D1086" s="32">
        <f t="shared" si="523"/>
        <v>1327982.26</v>
      </c>
      <c r="E1086" s="32">
        <v>0</v>
      </c>
      <c r="F1086" s="32">
        <v>0</v>
      </c>
      <c r="G1086" s="32">
        <v>0</v>
      </c>
      <c r="H1086" s="32">
        <v>0</v>
      </c>
      <c r="I1086" s="32">
        <v>0</v>
      </c>
      <c r="J1086" s="32">
        <v>0</v>
      </c>
      <c r="K1086" s="34">
        <v>0</v>
      </c>
      <c r="L1086" s="32">
        <v>0</v>
      </c>
      <c r="M1086" s="32">
        <v>242</v>
      </c>
      <c r="N1086" s="32">
        <v>1190130.31</v>
      </c>
      <c r="O1086" s="32">
        <v>0</v>
      </c>
      <c r="P1086" s="32">
        <v>0</v>
      </c>
      <c r="Q1086" s="32">
        <v>0</v>
      </c>
      <c r="R1086" s="32">
        <v>0</v>
      </c>
      <c r="S1086" s="32">
        <v>0</v>
      </c>
      <c r="T1086" s="32">
        <v>0</v>
      </c>
      <c r="U1086" s="32">
        <v>0</v>
      </c>
      <c r="V1086" s="32">
        <v>0</v>
      </c>
      <c r="W1086" s="32">
        <v>0</v>
      </c>
      <c r="X1086" s="32">
        <v>0</v>
      </c>
      <c r="Y1086" s="32">
        <v>0</v>
      </c>
      <c r="Z1086" s="32">
        <v>0</v>
      </c>
      <c r="AA1086" s="32">
        <v>0</v>
      </c>
      <c r="AB1086" s="32">
        <v>0</v>
      </c>
      <c r="AC1086" s="32">
        <f t="shared" si="524"/>
        <v>17851.95</v>
      </c>
      <c r="AD1086" s="32">
        <v>120000</v>
      </c>
      <c r="AE1086" s="32">
        <v>0</v>
      </c>
      <c r="AF1086" s="35">
        <v>2022</v>
      </c>
      <c r="AG1086" s="35">
        <v>2022</v>
      </c>
      <c r="AH1086" s="36">
        <v>2022</v>
      </c>
      <c r="AT1086" s="21" t="e">
        <f t="shared" si="498"/>
        <v>#N/A</v>
      </c>
    </row>
    <row r="1087" spans="1:46" ht="61.5" x14ac:dyDescent="0.85">
      <c r="B1087" s="25" t="s">
        <v>888</v>
      </c>
      <c r="C1087" s="25"/>
      <c r="D1087" s="32">
        <f>D1088</f>
        <v>1456533.11</v>
      </c>
      <c r="E1087" s="32">
        <f t="shared" ref="E1087:AE1087" si="525">E1088</f>
        <v>0</v>
      </c>
      <c r="F1087" s="32">
        <f t="shared" si="525"/>
        <v>0</v>
      </c>
      <c r="G1087" s="32">
        <f t="shared" si="525"/>
        <v>0</v>
      </c>
      <c r="H1087" s="32">
        <f t="shared" si="525"/>
        <v>0</v>
      </c>
      <c r="I1087" s="32">
        <f t="shared" si="525"/>
        <v>0</v>
      </c>
      <c r="J1087" s="32">
        <f t="shared" si="525"/>
        <v>0</v>
      </c>
      <c r="K1087" s="34">
        <f t="shared" si="525"/>
        <v>0</v>
      </c>
      <c r="L1087" s="32">
        <f t="shared" si="525"/>
        <v>0</v>
      </c>
      <c r="M1087" s="32">
        <f t="shared" si="525"/>
        <v>280</v>
      </c>
      <c r="N1087" s="32">
        <f t="shared" si="525"/>
        <v>1356190.26</v>
      </c>
      <c r="O1087" s="32">
        <f t="shared" si="525"/>
        <v>0</v>
      </c>
      <c r="P1087" s="32">
        <f t="shared" si="525"/>
        <v>0</v>
      </c>
      <c r="Q1087" s="32">
        <f t="shared" si="525"/>
        <v>0</v>
      </c>
      <c r="R1087" s="32">
        <f t="shared" si="525"/>
        <v>0</v>
      </c>
      <c r="S1087" s="32">
        <f t="shared" si="525"/>
        <v>0</v>
      </c>
      <c r="T1087" s="32">
        <f t="shared" si="525"/>
        <v>0</v>
      </c>
      <c r="U1087" s="32">
        <f t="shared" si="525"/>
        <v>0</v>
      </c>
      <c r="V1087" s="32">
        <f t="shared" si="525"/>
        <v>0</v>
      </c>
      <c r="W1087" s="32">
        <f t="shared" si="525"/>
        <v>0</v>
      </c>
      <c r="X1087" s="32">
        <f t="shared" si="525"/>
        <v>0</v>
      </c>
      <c r="Y1087" s="32">
        <f t="shared" si="525"/>
        <v>0</v>
      </c>
      <c r="Z1087" s="32">
        <f t="shared" si="525"/>
        <v>0</v>
      </c>
      <c r="AA1087" s="32">
        <f t="shared" si="525"/>
        <v>0</v>
      </c>
      <c r="AB1087" s="32">
        <f t="shared" si="525"/>
        <v>0</v>
      </c>
      <c r="AC1087" s="32">
        <f t="shared" si="525"/>
        <v>20342.849999999999</v>
      </c>
      <c r="AD1087" s="32">
        <f t="shared" si="525"/>
        <v>80000</v>
      </c>
      <c r="AE1087" s="32">
        <f t="shared" si="525"/>
        <v>0</v>
      </c>
      <c r="AF1087" s="113" t="s">
        <v>801</v>
      </c>
      <c r="AG1087" s="113" t="s">
        <v>801</v>
      </c>
      <c r="AH1087" s="114" t="s">
        <v>801</v>
      </c>
      <c r="AT1087" s="21" t="e">
        <f t="shared" si="498"/>
        <v>#N/A</v>
      </c>
    </row>
    <row r="1088" spans="1:46" ht="61.5" x14ac:dyDescent="0.85">
      <c r="A1088" s="21">
        <v>1</v>
      </c>
      <c r="B1088" s="70">
        <f>SUBTOTAL(103,$A$896:A1088)</f>
        <v>165</v>
      </c>
      <c r="C1088" s="25" t="s">
        <v>844</v>
      </c>
      <c r="D1088" s="32">
        <f t="shared" ref="D1088" si="526">E1088+F1088+G1088+H1088+I1088+J1088+L1088+N1088+P1088+R1088+T1088+U1088+V1088+W1088+X1088+Y1088+Z1088+AA1088+AB1088+AC1088+AD1088+AE1088</f>
        <v>1456533.11</v>
      </c>
      <c r="E1088" s="32">
        <v>0</v>
      </c>
      <c r="F1088" s="32">
        <v>0</v>
      </c>
      <c r="G1088" s="32">
        <v>0</v>
      </c>
      <c r="H1088" s="32">
        <v>0</v>
      </c>
      <c r="I1088" s="32">
        <v>0</v>
      </c>
      <c r="J1088" s="32">
        <v>0</v>
      </c>
      <c r="K1088" s="34">
        <v>0</v>
      </c>
      <c r="L1088" s="32">
        <v>0</v>
      </c>
      <c r="M1088" s="32">
        <v>280</v>
      </c>
      <c r="N1088" s="32">
        <v>1356190.26</v>
      </c>
      <c r="O1088" s="32">
        <v>0</v>
      </c>
      <c r="P1088" s="32">
        <v>0</v>
      </c>
      <c r="Q1088" s="32">
        <v>0</v>
      </c>
      <c r="R1088" s="32">
        <v>0</v>
      </c>
      <c r="S1088" s="32">
        <v>0</v>
      </c>
      <c r="T1088" s="32">
        <v>0</v>
      </c>
      <c r="U1088" s="32">
        <v>0</v>
      </c>
      <c r="V1088" s="32">
        <v>0</v>
      </c>
      <c r="W1088" s="32">
        <v>0</v>
      </c>
      <c r="X1088" s="32">
        <v>0</v>
      </c>
      <c r="Y1088" s="32">
        <v>0</v>
      </c>
      <c r="Z1088" s="32">
        <v>0</v>
      </c>
      <c r="AA1088" s="32">
        <v>0</v>
      </c>
      <c r="AB1088" s="32">
        <v>0</v>
      </c>
      <c r="AC1088" s="32">
        <f>ROUND(N1088*1.5%,2)</f>
        <v>20342.849999999999</v>
      </c>
      <c r="AD1088" s="32">
        <v>80000</v>
      </c>
      <c r="AE1088" s="32">
        <v>0</v>
      </c>
      <c r="AF1088" s="35">
        <v>2022</v>
      </c>
      <c r="AG1088" s="35">
        <v>2022</v>
      </c>
      <c r="AH1088" s="36">
        <v>2022</v>
      </c>
      <c r="AT1088" s="21" t="e">
        <f t="shared" ref="AT1088:AT1119" si="527">VLOOKUP(C1088,AW:AX,2,FALSE)</f>
        <v>#N/A</v>
      </c>
    </row>
    <row r="1089" spans="1:46" ht="61.5" x14ac:dyDescent="0.85">
      <c r="B1089" s="25" t="s">
        <v>890</v>
      </c>
      <c r="C1089" s="110"/>
      <c r="D1089" s="32">
        <f>D1090+D1091+D1092</f>
        <v>10290828.25</v>
      </c>
      <c r="E1089" s="32">
        <f t="shared" ref="E1089:AE1089" si="528">E1090+E1091+E1092</f>
        <v>0</v>
      </c>
      <c r="F1089" s="32">
        <f t="shared" si="528"/>
        <v>0</v>
      </c>
      <c r="G1089" s="32">
        <f t="shared" si="528"/>
        <v>0</v>
      </c>
      <c r="H1089" s="32">
        <f t="shared" si="528"/>
        <v>0</v>
      </c>
      <c r="I1089" s="32">
        <f t="shared" si="528"/>
        <v>0</v>
      </c>
      <c r="J1089" s="32">
        <f t="shared" si="528"/>
        <v>0</v>
      </c>
      <c r="K1089" s="34">
        <f t="shared" si="528"/>
        <v>0</v>
      </c>
      <c r="L1089" s="32">
        <f t="shared" si="528"/>
        <v>0</v>
      </c>
      <c r="M1089" s="32">
        <f t="shared" si="528"/>
        <v>1825</v>
      </c>
      <c r="N1089" s="32">
        <f t="shared" si="528"/>
        <v>9695397.290000001</v>
      </c>
      <c r="O1089" s="32">
        <f t="shared" si="528"/>
        <v>0</v>
      </c>
      <c r="P1089" s="32">
        <f t="shared" si="528"/>
        <v>0</v>
      </c>
      <c r="Q1089" s="32">
        <f t="shared" si="528"/>
        <v>0</v>
      </c>
      <c r="R1089" s="32">
        <f t="shared" si="528"/>
        <v>0</v>
      </c>
      <c r="S1089" s="32">
        <f t="shared" si="528"/>
        <v>0</v>
      </c>
      <c r="T1089" s="32">
        <f t="shared" si="528"/>
        <v>0</v>
      </c>
      <c r="U1089" s="32">
        <f t="shared" si="528"/>
        <v>0</v>
      </c>
      <c r="V1089" s="32">
        <f t="shared" si="528"/>
        <v>0</v>
      </c>
      <c r="W1089" s="32">
        <f t="shared" si="528"/>
        <v>0</v>
      </c>
      <c r="X1089" s="32">
        <f t="shared" si="528"/>
        <v>0</v>
      </c>
      <c r="Y1089" s="32">
        <f t="shared" si="528"/>
        <v>0</v>
      </c>
      <c r="Z1089" s="32">
        <f t="shared" si="528"/>
        <v>0</v>
      </c>
      <c r="AA1089" s="32">
        <f t="shared" si="528"/>
        <v>0</v>
      </c>
      <c r="AB1089" s="32">
        <f t="shared" si="528"/>
        <v>0</v>
      </c>
      <c r="AC1089" s="32">
        <f t="shared" si="528"/>
        <v>145430.96</v>
      </c>
      <c r="AD1089" s="32">
        <f t="shared" si="528"/>
        <v>450000</v>
      </c>
      <c r="AE1089" s="32">
        <f t="shared" si="528"/>
        <v>0</v>
      </c>
      <c r="AF1089" s="113" t="s">
        <v>801</v>
      </c>
      <c r="AG1089" s="113" t="s">
        <v>801</v>
      </c>
      <c r="AH1089" s="114" t="s">
        <v>801</v>
      </c>
      <c r="AT1089" s="21" t="e">
        <f t="shared" si="527"/>
        <v>#N/A</v>
      </c>
    </row>
    <row r="1090" spans="1:46" ht="61.5" x14ac:dyDescent="0.85">
      <c r="A1090" s="21">
        <v>1</v>
      </c>
      <c r="B1090" s="70">
        <f>SUBTOTAL(103,$A$896:A1090)</f>
        <v>166</v>
      </c>
      <c r="C1090" s="25" t="s">
        <v>87</v>
      </c>
      <c r="D1090" s="32">
        <f t="shared" ref="D1090:D1092" si="529">E1090+F1090+G1090+H1090+I1090+J1090+L1090+N1090+P1090+R1090+T1090+U1090+V1090+W1090+X1090+Y1090+Z1090+AA1090+AB1090+AC1090+AD1090+AE1090</f>
        <v>3665226.5</v>
      </c>
      <c r="E1090" s="32">
        <v>0</v>
      </c>
      <c r="F1090" s="32">
        <v>0</v>
      </c>
      <c r="G1090" s="32">
        <v>0</v>
      </c>
      <c r="H1090" s="32">
        <v>0</v>
      </c>
      <c r="I1090" s="32">
        <v>0</v>
      </c>
      <c r="J1090" s="32">
        <v>0</v>
      </c>
      <c r="K1090" s="34">
        <v>0</v>
      </c>
      <c r="L1090" s="32">
        <v>0</v>
      </c>
      <c r="M1090" s="32">
        <v>650</v>
      </c>
      <c r="N1090" s="32">
        <v>3463277.34</v>
      </c>
      <c r="O1090" s="32">
        <v>0</v>
      </c>
      <c r="P1090" s="32">
        <v>0</v>
      </c>
      <c r="Q1090" s="32">
        <v>0</v>
      </c>
      <c r="R1090" s="32">
        <v>0</v>
      </c>
      <c r="S1090" s="32">
        <v>0</v>
      </c>
      <c r="T1090" s="32">
        <v>0</v>
      </c>
      <c r="U1090" s="32">
        <v>0</v>
      </c>
      <c r="V1090" s="32">
        <v>0</v>
      </c>
      <c r="W1090" s="32">
        <v>0</v>
      </c>
      <c r="X1090" s="32">
        <v>0</v>
      </c>
      <c r="Y1090" s="32">
        <v>0</v>
      </c>
      <c r="Z1090" s="32">
        <v>0</v>
      </c>
      <c r="AA1090" s="32">
        <v>0</v>
      </c>
      <c r="AB1090" s="32">
        <v>0</v>
      </c>
      <c r="AC1090" s="32">
        <f t="shared" ref="AC1090:AC1092" si="530">ROUND(N1090*1.5%,2)</f>
        <v>51949.16</v>
      </c>
      <c r="AD1090" s="32">
        <v>150000</v>
      </c>
      <c r="AE1090" s="32">
        <v>0</v>
      </c>
      <c r="AF1090" s="35">
        <v>2022</v>
      </c>
      <c r="AG1090" s="35">
        <v>2022</v>
      </c>
      <c r="AH1090" s="36">
        <v>2022</v>
      </c>
      <c r="AT1090" s="21" t="e">
        <f t="shared" si="527"/>
        <v>#N/A</v>
      </c>
    </row>
    <row r="1091" spans="1:46" ht="61.5" x14ac:dyDescent="0.85">
      <c r="A1091" s="21">
        <v>1</v>
      </c>
      <c r="B1091" s="70">
        <f>SUBTOTAL(103,$A$896:A1091)</f>
        <v>167</v>
      </c>
      <c r="C1091" s="25" t="s">
        <v>88</v>
      </c>
      <c r="D1091" s="32">
        <f t="shared" si="529"/>
        <v>3185927.6500000004</v>
      </c>
      <c r="E1091" s="32">
        <v>0</v>
      </c>
      <c r="F1091" s="32">
        <v>0</v>
      </c>
      <c r="G1091" s="32">
        <v>0</v>
      </c>
      <c r="H1091" s="32">
        <v>0</v>
      </c>
      <c r="I1091" s="32">
        <v>0</v>
      </c>
      <c r="J1091" s="32">
        <v>0</v>
      </c>
      <c r="K1091" s="34">
        <v>0</v>
      </c>
      <c r="L1091" s="32">
        <v>0</v>
      </c>
      <c r="M1091" s="32">
        <v>565</v>
      </c>
      <c r="N1091" s="32">
        <v>2991061.72</v>
      </c>
      <c r="O1091" s="32">
        <v>0</v>
      </c>
      <c r="P1091" s="32">
        <v>0</v>
      </c>
      <c r="Q1091" s="32">
        <v>0</v>
      </c>
      <c r="R1091" s="32">
        <v>0</v>
      </c>
      <c r="S1091" s="32">
        <v>0</v>
      </c>
      <c r="T1091" s="32">
        <v>0</v>
      </c>
      <c r="U1091" s="32">
        <v>0</v>
      </c>
      <c r="V1091" s="32">
        <v>0</v>
      </c>
      <c r="W1091" s="32">
        <v>0</v>
      </c>
      <c r="X1091" s="32">
        <v>0</v>
      </c>
      <c r="Y1091" s="32">
        <v>0</v>
      </c>
      <c r="Z1091" s="32">
        <v>0</v>
      </c>
      <c r="AA1091" s="32">
        <v>0</v>
      </c>
      <c r="AB1091" s="32">
        <v>0</v>
      </c>
      <c r="AC1091" s="32">
        <f t="shared" si="530"/>
        <v>44865.93</v>
      </c>
      <c r="AD1091" s="32">
        <v>150000</v>
      </c>
      <c r="AE1091" s="32">
        <v>0</v>
      </c>
      <c r="AF1091" s="35">
        <v>2022</v>
      </c>
      <c r="AG1091" s="35">
        <v>2022</v>
      </c>
      <c r="AH1091" s="36">
        <v>2022</v>
      </c>
      <c r="AT1091" s="21" t="e">
        <f t="shared" si="527"/>
        <v>#N/A</v>
      </c>
    </row>
    <row r="1092" spans="1:46" ht="61.5" x14ac:dyDescent="0.85">
      <c r="A1092" s="21">
        <v>1</v>
      </c>
      <c r="B1092" s="70">
        <f>SUBTOTAL(103,$A$896:A1092)</f>
        <v>168</v>
      </c>
      <c r="C1092" s="25" t="s">
        <v>86</v>
      </c>
      <c r="D1092" s="32">
        <f t="shared" si="529"/>
        <v>3439674.1</v>
      </c>
      <c r="E1092" s="32">
        <v>0</v>
      </c>
      <c r="F1092" s="32">
        <v>0</v>
      </c>
      <c r="G1092" s="32">
        <v>0</v>
      </c>
      <c r="H1092" s="32">
        <v>0</v>
      </c>
      <c r="I1092" s="32">
        <v>0</v>
      </c>
      <c r="J1092" s="32">
        <v>0</v>
      </c>
      <c r="K1092" s="34">
        <v>0</v>
      </c>
      <c r="L1092" s="32">
        <v>0</v>
      </c>
      <c r="M1092" s="32">
        <v>610</v>
      </c>
      <c r="N1092" s="32">
        <v>3241058.23</v>
      </c>
      <c r="O1092" s="32">
        <v>0</v>
      </c>
      <c r="P1092" s="32">
        <v>0</v>
      </c>
      <c r="Q1092" s="32">
        <v>0</v>
      </c>
      <c r="R1092" s="32">
        <v>0</v>
      </c>
      <c r="S1092" s="32">
        <v>0</v>
      </c>
      <c r="T1092" s="32">
        <v>0</v>
      </c>
      <c r="U1092" s="32">
        <v>0</v>
      </c>
      <c r="V1092" s="32">
        <v>0</v>
      </c>
      <c r="W1092" s="32">
        <v>0</v>
      </c>
      <c r="X1092" s="32">
        <v>0</v>
      </c>
      <c r="Y1092" s="32">
        <v>0</v>
      </c>
      <c r="Z1092" s="32">
        <v>0</v>
      </c>
      <c r="AA1092" s="32">
        <v>0</v>
      </c>
      <c r="AB1092" s="32">
        <v>0</v>
      </c>
      <c r="AC1092" s="32">
        <f t="shared" si="530"/>
        <v>48615.87</v>
      </c>
      <c r="AD1092" s="32">
        <v>150000</v>
      </c>
      <c r="AE1092" s="32">
        <v>0</v>
      </c>
      <c r="AF1092" s="35">
        <v>2022</v>
      </c>
      <c r="AG1092" s="35">
        <v>2022</v>
      </c>
      <c r="AH1092" s="36">
        <v>2022</v>
      </c>
      <c r="AT1092" s="21" t="e">
        <f t="shared" si="527"/>
        <v>#N/A</v>
      </c>
    </row>
    <row r="1093" spans="1:46" ht="61.5" x14ac:dyDescent="0.85">
      <c r="B1093" s="25" t="s">
        <v>891</v>
      </c>
      <c r="C1093" s="25"/>
      <c r="D1093" s="32">
        <f>D1094</f>
        <v>3013803.8600000003</v>
      </c>
      <c r="E1093" s="32">
        <f t="shared" ref="E1093:AE1093" si="531">E1094</f>
        <v>0</v>
      </c>
      <c r="F1093" s="32">
        <f t="shared" si="531"/>
        <v>0</v>
      </c>
      <c r="G1093" s="32">
        <f t="shared" si="531"/>
        <v>0</v>
      </c>
      <c r="H1093" s="32">
        <f t="shared" si="531"/>
        <v>0</v>
      </c>
      <c r="I1093" s="32">
        <f t="shared" si="531"/>
        <v>0</v>
      </c>
      <c r="J1093" s="32">
        <f t="shared" si="531"/>
        <v>0</v>
      </c>
      <c r="K1093" s="34">
        <f t="shared" si="531"/>
        <v>0</v>
      </c>
      <c r="L1093" s="32">
        <f t="shared" si="531"/>
        <v>0</v>
      </c>
      <c r="M1093" s="32">
        <f t="shared" si="531"/>
        <v>586</v>
      </c>
      <c r="N1093" s="32">
        <f t="shared" si="531"/>
        <v>2821481.64</v>
      </c>
      <c r="O1093" s="32">
        <f t="shared" si="531"/>
        <v>0</v>
      </c>
      <c r="P1093" s="32">
        <f t="shared" si="531"/>
        <v>0</v>
      </c>
      <c r="Q1093" s="32">
        <f t="shared" si="531"/>
        <v>0</v>
      </c>
      <c r="R1093" s="32">
        <f t="shared" si="531"/>
        <v>0</v>
      </c>
      <c r="S1093" s="32">
        <f t="shared" si="531"/>
        <v>0</v>
      </c>
      <c r="T1093" s="32">
        <f t="shared" si="531"/>
        <v>0</v>
      </c>
      <c r="U1093" s="32">
        <f t="shared" si="531"/>
        <v>0</v>
      </c>
      <c r="V1093" s="32">
        <f t="shared" si="531"/>
        <v>0</v>
      </c>
      <c r="W1093" s="32">
        <f t="shared" si="531"/>
        <v>0</v>
      </c>
      <c r="X1093" s="32">
        <f t="shared" si="531"/>
        <v>0</v>
      </c>
      <c r="Y1093" s="32">
        <f t="shared" si="531"/>
        <v>0</v>
      </c>
      <c r="Z1093" s="32">
        <f t="shared" si="531"/>
        <v>0</v>
      </c>
      <c r="AA1093" s="32">
        <f t="shared" si="531"/>
        <v>0</v>
      </c>
      <c r="AB1093" s="32">
        <f t="shared" si="531"/>
        <v>0</v>
      </c>
      <c r="AC1093" s="32">
        <f t="shared" si="531"/>
        <v>42322.22</v>
      </c>
      <c r="AD1093" s="32">
        <f t="shared" si="531"/>
        <v>150000</v>
      </c>
      <c r="AE1093" s="32">
        <f t="shared" si="531"/>
        <v>0</v>
      </c>
      <c r="AF1093" s="113" t="s">
        <v>801</v>
      </c>
      <c r="AG1093" s="113" t="s">
        <v>801</v>
      </c>
      <c r="AH1093" s="114" t="s">
        <v>801</v>
      </c>
      <c r="AT1093" s="21" t="e">
        <f t="shared" si="527"/>
        <v>#N/A</v>
      </c>
    </row>
    <row r="1094" spans="1:46" ht="61.5" x14ac:dyDescent="0.85">
      <c r="A1094" s="21">
        <v>1</v>
      </c>
      <c r="B1094" s="70">
        <f>SUBTOTAL(103,$A$896:A1094)</f>
        <v>169</v>
      </c>
      <c r="C1094" s="25" t="s">
        <v>90</v>
      </c>
      <c r="D1094" s="32">
        <f t="shared" ref="D1094" si="532">E1094+F1094+G1094+H1094+I1094+J1094+L1094+N1094+P1094+R1094+T1094+U1094+V1094+W1094+X1094+Y1094+Z1094+AA1094+AB1094+AC1094+AD1094+AE1094</f>
        <v>3013803.8600000003</v>
      </c>
      <c r="E1094" s="32">
        <v>0</v>
      </c>
      <c r="F1094" s="32">
        <v>0</v>
      </c>
      <c r="G1094" s="32">
        <v>0</v>
      </c>
      <c r="H1094" s="32">
        <v>0</v>
      </c>
      <c r="I1094" s="32">
        <v>0</v>
      </c>
      <c r="J1094" s="32">
        <v>0</v>
      </c>
      <c r="K1094" s="34">
        <v>0</v>
      </c>
      <c r="L1094" s="32">
        <v>0</v>
      </c>
      <c r="M1094" s="32">
        <v>586</v>
      </c>
      <c r="N1094" s="32">
        <v>2821481.64</v>
      </c>
      <c r="O1094" s="32">
        <v>0</v>
      </c>
      <c r="P1094" s="32">
        <v>0</v>
      </c>
      <c r="Q1094" s="32">
        <v>0</v>
      </c>
      <c r="R1094" s="32">
        <v>0</v>
      </c>
      <c r="S1094" s="32">
        <v>0</v>
      </c>
      <c r="T1094" s="32">
        <v>0</v>
      </c>
      <c r="U1094" s="32">
        <v>0</v>
      </c>
      <c r="V1094" s="32">
        <v>0</v>
      </c>
      <c r="W1094" s="32">
        <v>0</v>
      </c>
      <c r="X1094" s="32">
        <v>0</v>
      </c>
      <c r="Y1094" s="32">
        <v>0</v>
      </c>
      <c r="Z1094" s="32">
        <v>0</v>
      </c>
      <c r="AA1094" s="32">
        <v>0</v>
      </c>
      <c r="AB1094" s="32">
        <v>0</v>
      </c>
      <c r="AC1094" s="32">
        <f>ROUND(N1094*1.5%,2)</f>
        <v>42322.22</v>
      </c>
      <c r="AD1094" s="32">
        <v>150000</v>
      </c>
      <c r="AE1094" s="32">
        <v>0</v>
      </c>
      <c r="AF1094" s="35">
        <v>2022</v>
      </c>
      <c r="AG1094" s="35">
        <v>2022</v>
      </c>
      <c r="AH1094" s="36">
        <v>2022</v>
      </c>
      <c r="AT1094" s="21" t="e">
        <f t="shared" si="527"/>
        <v>#N/A</v>
      </c>
    </row>
    <row r="1095" spans="1:46" ht="61.5" x14ac:dyDescent="0.85">
      <c r="B1095" s="25" t="s">
        <v>941</v>
      </c>
      <c r="C1095" s="25"/>
      <c r="D1095" s="32">
        <f>D1096</f>
        <v>2036502</v>
      </c>
      <c r="E1095" s="32">
        <f t="shared" ref="E1095:AE1095" si="533">E1096</f>
        <v>0</v>
      </c>
      <c r="F1095" s="32">
        <f t="shared" si="533"/>
        <v>0</v>
      </c>
      <c r="G1095" s="32">
        <f t="shared" si="533"/>
        <v>0</v>
      </c>
      <c r="H1095" s="32">
        <f t="shared" si="533"/>
        <v>0</v>
      </c>
      <c r="I1095" s="32">
        <f t="shared" si="533"/>
        <v>0</v>
      </c>
      <c r="J1095" s="32">
        <f t="shared" si="533"/>
        <v>0</v>
      </c>
      <c r="K1095" s="34">
        <f t="shared" si="533"/>
        <v>0</v>
      </c>
      <c r="L1095" s="32">
        <f t="shared" si="533"/>
        <v>0</v>
      </c>
      <c r="M1095" s="32">
        <f t="shared" si="533"/>
        <v>390</v>
      </c>
      <c r="N1095" s="32">
        <f t="shared" si="533"/>
        <v>1888179.31</v>
      </c>
      <c r="O1095" s="32">
        <f t="shared" si="533"/>
        <v>0</v>
      </c>
      <c r="P1095" s="32">
        <f t="shared" si="533"/>
        <v>0</v>
      </c>
      <c r="Q1095" s="32">
        <f t="shared" si="533"/>
        <v>0</v>
      </c>
      <c r="R1095" s="32">
        <f t="shared" si="533"/>
        <v>0</v>
      </c>
      <c r="S1095" s="32">
        <f t="shared" si="533"/>
        <v>0</v>
      </c>
      <c r="T1095" s="32">
        <f t="shared" si="533"/>
        <v>0</v>
      </c>
      <c r="U1095" s="32">
        <f t="shared" si="533"/>
        <v>0</v>
      </c>
      <c r="V1095" s="32">
        <f t="shared" si="533"/>
        <v>0</v>
      </c>
      <c r="W1095" s="32">
        <f t="shared" si="533"/>
        <v>0</v>
      </c>
      <c r="X1095" s="32">
        <f t="shared" si="533"/>
        <v>0</v>
      </c>
      <c r="Y1095" s="32">
        <f t="shared" si="533"/>
        <v>0</v>
      </c>
      <c r="Z1095" s="32">
        <f t="shared" si="533"/>
        <v>0</v>
      </c>
      <c r="AA1095" s="32">
        <f t="shared" si="533"/>
        <v>0</v>
      </c>
      <c r="AB1095" s="32">
        <f t="shared" si="533"/>
        <v>0</v>
      </c>
      <c r="AC1095" s="32">
        <f t="shared" si="533"/>
        <v>28322.69</v>
      </c>
      <c r="AD1095" s="32">
        <f t="shared" si="533"/>
        <v>120000</v>
      </c>
      <c r="AE1095" s="32">
        <f t="shared" si="533"/>
        <v>0</v>
      </c>
      <c r="AF1095" s="113" t="s">
        <v>801</v>
      </c>
      <c r="AG1095" s="113" t="s">
        <v>801</v>
      </c>
      <c r="AH1095" s="114" t="s">
        <v>801</v>
      </c>
      <c r="AT1095" s="21" t="e">
        <f t="shared" si="527"/>
        <v>#N/A</v>
      </c>
    </row>
    <row r="1096" spans="1:46" ht="61.5" x14ac:dyDescent="0.85">
      <c r="A1096" s="21">
        <v>1</v>
      </c>
      <c r="B1096" s="70">
        <f>SUBTOTAL(103,$A$896:A1096)</f>
        <v>170</v>
      </c>
      <c r="C1096" s="25" t="s">
        <v>89</v>
      </c>
      <c r="D1096" s="32">
        <f t="shared" ref="D1096" si="534">E1096+F1096+G1096+H1096+I1096+J1096+L1096+N1096+P1096+R1096+T1096+U1096+V1096+W1096+X1096+Y1096+Z1096+AA1096+AB1096+AC1096+AD1096+AE1096</f>
        <v>2036502</v>
      </c>
      <c r="E1096" s="32">
        <v>0</v>
      </c>
      <c r="F1096" s="32">
        <v>0</v>
      </c>
      <c r="G1096" s="32">
        <v>0</v>
      </c>
      <c r="H1096" s="32">
        <v>0</v>
      </c>
      <c r="I1096" s="32">
        <v>0</v>
      </c>
      <c r="J1096" s="32">
        <v>0</v>
      </c>
      <c r="K1096" s="34">
        <v>0</v>
      </c>
      <c r="L1096" s="32">
        <v>0</v>
      </c>
      <c r="M1096" s="32">
        <v>390</v>
      </c>
      <c r="N1096" s="32">
        <v>1888179.31</v>
      </c>
      <c r="O1096" s="32">
        <v>0</v>
      </c>
      <c r="P1096" s="32">
        <v>0</v>
      </c>
      <c r="Q1096" s="32">
        <v>0</v>
      </c>
      <c r="R1096" s="32">
        <v>0</v>
      </c>
      <c r="S1096" s="32">
        <v>0</v>
      </c>
      <c r="T1096" s="32">
        <v>0</v>
      </c>
      <c r="U1096" s="32">
        <v>0</v>
      </c>
      <c r="V1096" s="32">
        <v>0</v>
      </c>
      <c r="W1096" s="32">
        <v>0</v>
      </c>
      <c r="X1096" s="32">
        <v>0</v>
      </c>
      <c r="Y1096" s="32">
        <v>0</v>
      </c>
      <c r="Z1096" s="32">
        <v>0</v>
      </c>
      <c r="AA1096" s="32">
        <v>0</v>
      </c>
      <c r="AB1096" s="32">
        <v>0</v>
      </c>
      <c r="AC1096" s="32">
        <f>ROUND(N1096*1.5%,2)</f>
        <v>28322.69</v>
      </c>
      <c r="AD1096" s="32">
        <v>120000</v>
      </c>
      <c r="AE1096" s="32">
        <v>0</v>
      </c>
      <c r="AF1096" s="35">
        <v>2022</v>
      </c>
      <c r="AG1096" s="35">
        <v>2022</v>
      </c>
      <c r="AH1096" s="36">
        <v>2022</v>
      </c>
      <c r="AT1096" s="21" t="e">
        <f t="shared" si="527"/>
        <v>#N/A</v>
      </c>
    </row>
    <row r="1097" spans="1:46" ht="61.5" x14ac:dyDescent="0.85">
      <c r="B1097" s="25" t="s">
        <v>892</v>
      </c>
      <c r="C1097" s="110"/>
      <c r="D1097" s="32">
        <f>D1098</f>
        <v>3592598.4</v>
      </c>
      <c r="E1097" s="32">
        <f t="shared" ref="E1097:AE1097" si="535">E1098</f>
        <v>0</v>
      </c>
      <c r="F1097" s="32">
        <f t="shared" si="535"/>
        <v>0</v>
      </c>
      <c r="G1097" s="32">
        <f t="shared" si="535"/>
        <v>0</v>
      </c>
      <c r="H1097" s="32">
        <f t="shared" si="535"/>
        <v>0</v>
      </c>
      <c r="I1097" s="32">
        <f t="shared" si="535"/>
        <v>0</v>
      </c>
      <c r="J1097" s="32">
        <f t="shared" si="535"/>
        <v>0</v>
      </c>
      <c r="K1097" s="34">
        <f t="shared" si="535"/>
        <v>0</v>
      </c>
      <c r="L1097" s="32">
        <f t="shared" si="535"/>
        <v>0</v>
      </c>
      <c r="M1097" s="32">
        <f t="shared" si="535"/>
        <v>688</v>
      </c>
      <c r="N1097" s="32">
        <f t="shared" si="535"/>
        <v>3391722.56</v>
      </c>
      <c r="O1097" s="32">
        <f t="shared" si="535"/>
        <v>0</v>
      </c>
      <c r="P1097" s="32">
        <f t="shared" si="535"/>
        <v>0</v>
      </c>
      <c r="Q1097" s="32">
        <f t="shared" si="535"/>
        <v>0</v>
      </c>
      <c r="R1097" s="32">
        <f t="shared" si="535"/>
        <v>0</v>
      </c>
      <c r="S1097" s="32">
        <f t="shared" si="535"/>
        <v>0</v>
      </c>
      <c r="T1097" s="32">
        <f t="shared" si="535"/>
        <v>0</v>
      </c>
      <c r="U1097" s="32">
        <f t="shared" si="535"/>
        <v>0</v>
      </c>
      <c r="V1097" s="32">
        <f t="shared" si="535"/>
        <v>0</v>
      </c>
      <c r="W1097" s="32">
        <f t="shared" si="535"/>
        <v>0</v>
      </c>
      <c r="X1097" s="32">
        <f t="shared" si="535"/>
        <v>0</v>
      </c>
      <c r="Y1097" s="32">
        <f t="shared" si="535"/>
        <v>0</v>
      </c>
      <c r="Z1097" s="32">
        <f t="shared" si="535"/>
        <v>0</v>
      </c>
      <c r="AA1097" s="32">
        <f t="shared" si="535"/>
        <v>0</v>
      </c>
      <c r="AB1097" s="32">
        <f t="shared" si="535"/>
        <v>0</v>
      </c>
      <c r="AC1097" s="32">
        <f t="shared" si="535"/>
        <v>50875.839999999997</v>
      </c>
      <c r="AD1097" s="32">
        <f t="shared" si="535"/>
        <v>150000</v>
      </c>
      <c r="AE1097" s="32">
        <f t="shared" si="535"/>
        <v>0</v>
      </c>
      <c r="AF1097" s="113" t="s">
        <v>801</v>
      </c>
      <c r="AG1097" s="113" t="s">
        <v>801</v>
      </c>
      <c r="AH1097" s="114" t="s">
        <v>801</v>
      </c>
      <c r="AT1097" s="21" t="e">
        <f t="shared" si="527"/>
        <v>#N/A</v>
      </c>
    </row>
    <row r="1098" spans="1:46" ht="61.5" x14ac:dyDescent="0.85">
      <c r="A1098" s="21">
        <v>1</v>
      </c>
      <c r="B1098" s="70">
        <f>SUBTOTAL(103,$A$896:A1098)</f>
        <v>171</v>
      </c>
      <c r="C1098" s="25" t="s">
        <v>110</v>
      </c>
      <c r="D1098" s="32">
        <f t="shared" ref="D1098" si="536">E1098+F1098+G1098+H1098+I1098+J1098+L1098+N1098+P1098+R1098+T1098+U1098+V1098+W1098+X1098+Y1098+Z1098+AA1098+AB1098+AC1098+AD1098+AE1098</f>
        <v>3592598.4</v>
      </c>
      <c r="E1098" s="32">
        <v>0</v>
      </c>
      <c r="F1098" s="32">
        <v>0</v>
      </c>
      <c r="G1098" s="32">
        <v>0</v>
      </c>
      <c r="H1098" s="32">
        <v>0</v>
      </c>
      <c r="I1098" s="32">
        <v>0</v>
      </c>
      <c r="J1098" s="32">
        <v>0</v>
      </c>
      <c r="K1098" s="34">
        <v>0</v>
      </c>
      <c r="L1098" s="32">
        <v>0</v>
      </c>
      <c r="M1098" s="32">
        <v>688</v>
      </c>
      <c r="N1098" s="32">
        <v>3391722.56</v>
      </c>
      <c r="O1098" s="32">
        <v>0</v>
      </c>
      <c r="P1098" s="32">
        <v>0</v>
      </c>
      <c r="Q1098" s="32">
        <v>0</v>
      </c>
      <c r="R1098" s="32">
        <v>0</v>
      </c>
      <c r="S1098" s="32">
        <v>0</v>
      </c>
      <c r="T1098" s="32">
        <v>0</v>
      </c>
      <c r="U1098" s="32">
        <v>0</v>
      </c>
      <c r="V1098" s="32">
        <v>0</v>
      </c>
      <c r="W1098" s="32">
        <v>0</v>
      </c>
      <c r="X1098" s="32">
        <v>0</v>
      </c>
      <c r="Y1098" s="32">
        <v>0</v>
      </c>
      <c r="Z1098" s="32">
        <v>0</v>
      </c>
      <c r="AA1098" s="32">
        <v>0</v>
      </c>
      <c r="AB1098" s="32">
        <v>0</v>
      </c>
      <c r="AC1098" s="32">
        <f>ROUND(N1098*1.5%,2)</f>
        <v>50875.839999999997</v>
      </c>
      <c r="AD1098" s="32">
        <v>150000</v>
      </c>
      <c r="AE1098" s="32">
        <v>0</v>
      </c>
      <c r="AF1098" s="35">
        <v>2022</v>
      </c>
      <c r="AG1098" s="35">
        <v>2022</v>
      </c>
      <c r="AH1098" s="36">
        <v>2022</v>
      </c>
      <c r="AT1098" s="21" t="e">
        <f t="shared" si="527"/>
        <v>#N/A</v>
      </c>
    </row>
    <row r="1099" spans="1:46" ht="61.5" x14ac:dyDescent="0.85">
      <c r="B1099" s="25" t="s">
        <v>927</v>
      </c>
      <c r="C1099" s="25"/>
      <c r="D1099" s="32">
        <f>D1100</f>
        <v>4454195.3999999994</v>
      </c>
      <c r="E1099" s="32">
        <f t="shared" ref="E1099:AE1099" si="537">E1100</f>
        <v>0</v>
      </c>
      <c r="F1099" s="32">
        <f t="shared" si="537"/>
        <v>0</v>
      </c>
      <c r="G1099" s="32">
        <f t="shared" si="537"/>
        <v>0</v>
      </c>
      <c r="H1099" s="32">
        <f t="shared" si="537"/>
        <v>0</v>
      </c>
      <c r="I1099" s="32">
        <f t="shared" si="537"/>
        <v>0</v>
      </c>
      <c r="J1099" s="32">
        <f t="shared" si="537"/>
        <v>0</v>
      </c>
      <c r="K1099" s="34">
        <f t="shared" si="537"/>
        <v>0</v>
      </c>
      <c r="L1099" s="32">
        <f t="shared" si="537"/>
        <v>0</v>
      </c>
      <c r="M1099" s="32">
        <f t="shared" si="537"/>
        <v>853</v>
      </c>
      <c r="N1099" s="32">
        <f t="shared" si="537"/>
        <v>4240586.5999999996</v>
      </c>
      <c r="O1099" s="32">
        <f t="shared" si="537"/>
        <v>0</v>
      </c>
      <c r="P1099" s="32">
        <f t="shared" si="537"/>
        <v>0</v>
      </c>
      <c r="Q1099" s="32">
        <f t="shared" si="537"/>
        <v>0</v>
      </c>
      <c r="R1099" s="32">
        <f t="shared" si="537"/>
        <v>0</v>
      </c>
      <c r="S1099" s="32">
        <f t="shared" si="537"/>
        <v>0</v>
      </c>
      <c r="T1099" s="32">
        <f t="shared" si="537"/>
        <v>0</v>
      </c>
      <c r="U1099" s="32">
        <f t="shared" si="537"/>
        <v>0</v>
      </c>
      <c r="V1099" s="32">
        <f t="shared" si="537"/>
        <v>0</v>
      </c>
      <c r="W1099" s="32">
        <f t="shared" si="537"/>
        <v>0</v>
      </c>
      <c r="X1099" s="32">
        <f t="shared" si="537"/>
        <v>0</v>
      </c>
      <c r="Y1099" s="32">
        <f t="shared" si="537"/>
        <v>0</v>
      </c>
      <c r="Z1099" s="32">
        <f t="shared" si="537"/>
        <v>0</v>
      </c>
      <c r="AA1099" s="32">
        <f t="shared" si="537"/>
        <v>0</v>
      </c>
      <c r="AB1099" s="32">
        <f t="shared" si="537"/>
        <v>0</v>
      </c>
      <c r="AC1099" s="32">
        <f t="shared" si="537"/>
        <v>63608.800000000003</v>
      </c>
      <c r="AD1099" s="32">
        <f t="shared" si="537"/>
        <v>150000</v>
      </c>
      <c r="AE1099" s="32">
        <f t="shared" si="537"/>
        <v>0</v>
      </c>
      <c r="AF1099" s="113" t="s">
        <v>801</v>
      </c>
      <c r="AG1099" s="113" t="s">
        <v>801</v>
      </c>
      <c r="AH1099" s="114" t="s">
        <v>801</v>
      </c>
      <c r="AT1099" s="21" t="e">
        <f t="shared" si="527"/>
        <v>#N/A</v>
      </c>
    </row>
    <row r="1100" spans="1:46" ht="61.5" x14ac:dyDescent="0.85">
      <c r="A1100" s="21">
        <v>1</v>
      </c>
      <c r="B1100" s="70">
        <f>SUBTOTAL(103,$A$896:A1100)</f>
        <v>172</v>
      </c>
      <c r="C1100" s="25" t="s">
        <v>112</v>
      </c>
      <c r="D1100" s="32">
        <f t="shared" ref="D1100" si="538">E1100+F1100+G1100+H1100+I1100+J1100+L1100+N1100+P1100+R1100+T1100+U1100+V1100+W1100+X1100+Y1100+Z1100+AA1100+AB1100+AC1100+AD1100+AE1100</f>
        <v>4454195.3999999994</v>
      </c>
      <c r="E1100" s="32">
        <v>0</v>
      </c>
      <c r="F1100" s="32">
        <v>0</v>
      </c>
      <c r="G1100" s="32">
        <v>0</v>
      </c>
      <c r="H1100" s="32">
        <v>0</v>
      </c>
      <c r="I1100" s="32">
        <v>0</v>
      </c>
      <c r="J1100" s="32">
        <v>0</v>
      </c>
      <c r="K1100" s="34">
        <v>0</v>
      </c>
      <c r="L1100" s="32">
        <v>0</v>
      </c>
      <c r="M1100" s="32">
        <v>853</v>
      </c>
      <c r="N1100" s="32">
        <v>4240586.5999999996</v>
      </c>
      <c r="O1100" s="32">
        <v>0</v>
      </c>
      <c r="P1100" s="32">
        <v>0</v>
      </c>
      <c r="Q1100" s="32">
        <v>0</v>
      </c>
      <c r="R1100" s="32">
        <v>0</v>
      </c>
      <c r="S1100" s="32">
        <v>0</v>
      </c>
      <c r="T1100" s="32">
        <v>0</v>
      </c>
      <c r="U1100" s="32">
        <v>0</v>
      </c>
      <c r="V1100" s="32">
        <v>0</v>
      </c>
      <c r="W1100" s="32">
        <v>0</v>
      </c>
      <c r="X1100" s="32">
        <v>0</v>
      </c>
      <c r="Y1100" s="32">
        <v>0</v>
      </c>
      <c r="Z1100" s="32">
        <v>0</v>
      </c>
      <c r="AA1100" s="32">
        <v>0</v>
      </c>
      <c r="AB1100" s="32">
        <v>0</v>
      </c>
      <c r="AC1100" s="32">
        <f>ROUND(N1100*1.5%,2)</f>
        <v>63608.800000000003</v>
      </c>
      <c r="AD1100" s="32">
        <v>150000</v>
      </c>
      <c r="AE1100" s="32">
        <v>0</v>
      </c>
      <c r="AF1100" s="35">
        <v>2022</v>
      </c>
      <c r="AG1100" s="35">
        <v>2022</v>
      </c>
      <c r="AH1100" s="36">
        <v>2022</v>
      </c>
      <c r="AT1100" s="21" t="e">
        <f t="shared" si="527"/>
        <v>#N/A</v>
      </c>
    </row>
    <row r="1101" spans="1:46" ht="61.5" x14ac:dyDescent="0.85">
      <c r="B1101" s="25" t="s">
        <v>942</v>
      </c>
      <c r="C1101" s="110"/>
      <c r="D1101" s="32">
        <f>D1102</f>
        <v>4839701.7600000007</v>
      </c>
      <c r="E1101" s="32">
        <f t="shared" ref="E1101:AE1101" si="539">E1102</f>
        <v>0</v>
      </c>
      <c r="F1101" s="32">
        <f t="shared" si="539"/>
        <v>0</v>
      </c>
      <c r="G1101" s="32">
        <f t="shared" si="539"/>
        <v>0</v>
      </c>
      <c r="H1101" s="32">
        <f t="shared" si="539"/>
        <v>0</v>
      </c>
      <c r="I1101" s="32">
        <f t="shared" si="539"/>
        <v>0</v>
      </c>
      <c r="J1101" s="32">
        <f t="shared" si="539"/>
        <v>0</v>
      </c>
      <c r="K1101" s="34">
        <f t="shared" si="539"/>
        <v>0</v>
      </c>
      <c r="L1101" s="32">
        <f t="shared" si="539"/>
        <v>0</v>
      </c>
      <c r="M1101" s="32">
        <f t="shared" si="539"/>
        <v>926.83</v>
      </c>
      <c r="N1101" s="32">
        <f t="shared" si="539"/>
        <v>4620395.82</v>
      </c>
      <c r="O1101" s="32">
        <f t="shared" si="539"/>
        <v>0</v>
      </c>
      <c r="P1101" s="32">
        <f t="shared" si="539"/>
        <v>0</v>
      </c>
      <c r="Q1101" s="32">
        <f t="shared" si="539"/>
        <v>0</v>
      </c>
      <c r="R1101" s="32">
        <f t="shared" si="539"/>
        <v>0</v>
      </c>
      <c r="S1101" s="32">
        <f t="shared" si="539"/>
        <v>0</v>
      </c>
      <c r="T1101" s="32">
        <f t="shared" si="539"/>
        <v>0</v>
      </c>
      <c r="U1101" s="32">
        <f t="shared" si="539"/>
        <v>0</v>
      </c>
      <c r="V1101" s="32">
        <f t="shared" si="539"/>
        <v>0</v>
      </c>
      <c r="W1101" s="32">
        <f t="shared" si="539"/>
        <v>0</v>
      </c>
      <c r="X1101" s="32">
        <f t="shared" si="539"/>
        <v>0</v>
      </c>
      <c r="Y1101" s="32">
        <f t="shared" si="539"/>
        <v>0</v>
      </c>
      <c r="Z1101" s="32">
        <f t="shared" si="539"/>
        <v>0</v>
      </c>
      <c r="AA1101" s="32">
        <f t="shared" si="539"/>
        <v>0</v>
      </c>
      <c r="AB1101" s="32">
        <f t="shared" si="539"/>
        <v>0</v>
      </c>
      <c r="AC1101" s="32">
        <f t="shared" si="539"/>
        <v>69305.94</v>
      </c>
      <c r="AD1101" s="32">
        <f t="shared" si="539"/>
        <v>150000</v>
      </c>
      <c r="AE1101" s="32">
        <f t="shared" si="539"/>
        <v>0</v>
      </c>
      <c r="AF1101" s="113" t="s">
        <v>801</v>
      </c>
      <c r="AG1101" s="113" t="s">
        <v>801</v>
      </c>
      <c r="AH1101" s="114" t="s">
        <v>801</v>
      </c>
      <c r="AT1101" s="21" t="e">
        <f t="shared" si="527"/>
        <v>#N/A</v>
      </c>
    </row>
    <row r="1102" spans="1:46" ht="61.5" x14ac:dyDescent="0.85">
      <c r="A1102" s="21">
        <v>1</v>
      </c>
      <c r="B1102" s="70">
        <f>SUBTOTAL(103,$A$896:A1102)</f>
        <v>173</v>
      </c>
      <c r="C1102" s="25" t="s">
        <v>216</v>
      </c>
      <c r="D1102" s="32">
        <f t="shared" ref="D1102" si="540">E1102+F1102+G1102+H1102+I1102+J1102+L1102+N1102+P1102+R1102+T1102+U1102+V1102+W1102+X1102+Y1102+Z1102+AA1102+AB1102+AC1102+AD1102+AE1102</f>
        <v>4839701.7600000007</v>
      </c>
      <c r="E1102" s="32">
        <v>0</v>
      </c>
      <c r="F1102" s="32">
        <v>0</v>
      </c>
      <c r="G1102" s="32">
        <v>0</v>
      </c>
      <c r="H1102" s="32">
        <v>0</v>
      </c>
      <c r="I1102" s="32">
        <v>0</v>
      </c>
      <c r="J1102" s="32">
        <v>0</v>
      </c>
      <c r="K1102" s="34">
        <v>0</v>
      </c>
      <c r="L1102" s="32">
        <v>0</v>
      </c>
      <c r="M1102" s="32">
        <v>926.83</v>
      </c>
      <c r="N1102" s="32">
        <v>4620395.82</v>
      </c>
      <c r="O1102" s="32">
        <v>0</v>
      </c>
      <c r="P1102" s="32">
        <v>0</v>
      </c>
      <c r="Q1102" s="32">
        <v>0</v>
      </c>
      <c r="R1102" s="32">
        <v>0</v>
      </c>
      <c r="S1102" s="32">
        <v>0</v>
      </c>
      <c r="T1102" s="32">
        <v>0</v>
      </c>
      <c r="U1102" s="32">
        <v>0</v>
      </c>
      <c r="V1102" s="32">
        <v>0</v>
      </c>
      <c r="W1102" s="32">
        <v>0</v>
      </c>
      <c r="X1102" s="32">
        <v>0</v>
      </c>
      <c r="Y1102" s="32">
        <v>0</v>
      </c>
      <c r="Z1102" s="32">
        <v>0</v>
      </c>
      <c r="AA1102" s="32">
        <v>0</v>
      </c>
      <c r="AB1102" s="32">
        <v>0</v>
      </c>
      <c r="AC1102" s="32">
        <f>ROUND(N1102*1.5%,2)</f>
        <v>69305.94</v>
      </c>
      <c r="AD1102" s="32">
        <v>150000</v>
      </c>
      <c r="AE1102" s="32">
        <v>0</v>
      </c>
      <c r="AF1102" s="35">
        <v>2022</v>
      </c>
      <c r="AG1102" s="35">
        <v>2022</v>
      </c>
      <c r="AH1102" s="36">
        <v>2022</v>
      </c>
      <c r="AT1102" s="21" t="e">
        <f t="shared" si="527"/>
        <v>#N/A</v>
      </c>
    </row>
    <row r="1103" spans="1:46" ht="61.5" x14ac:dyDescent="0.85">
      <c r="B1103" s="25" t="s">
        <v>893</v>
      </c>
      <c r="C1103" s="110"/>
      <c r="D1103" s="32">
        <f>D1104</f>
        <v>3231458.3</v>
      </c>
      <c r="E1103" s="32">
        <f t="shared" ref="E1103:AE1103" si="541">E1104</f>
        <v>0</v>
      </c>
      <c r="F1103" s="32">
        <f t="shared" si="541"/>
        <v>0</v>
      </c>
      <c r="G1103" s="32">
        <f t="shared" si="541"/>
        <v>0</v>
      </c>
      <c r="H1103" s="32">
        <f t="shared" si="541"/>
        <v>0</v>
      </c>
      <c r="I1103" s="32">
        <f t="shared" si="541"/>
        <v>0</v>
      </c>
      <c r="J1103" s="32">
        <f t="shared" si="541"/>
        <v>0</v>
      </c>
      <c r="K1103" s="34">
        <f t="shared" si="541"/>
        <v>0</v>
      </c>
      <c r="L1103" s="32">
        <f t="shared" si="541"/>
        <v>0</v>
      </c>
      <c r="M1103" s="32">
        <f t="shared" si="541"/>
        <v>670.8</v>
      </c>
      <c r="N1103" s="32">
        <f t="shared" si="541"/>
        <v>3035919.51</v>
      </c>
      <c r="O1103" s="32">
        <f t="shared" si="541"/>
        <v>0</v>
      </c>
      <c r="P1103" s="32">
        <f t="shared" si="541"/>
        <v>0</v>
      </c>
      <c r="Q1103" s="32">
        <f t="shared" si="541"/>
        <v>0</v>
      </c>
      <c r="R1103" s="32">
        <f t="shared" si="541"/>
        <v>0</v>
      </c>
      <c r="S1103" s="32">
        <f t="shared" si="541"/>
        <v>0</v>
      </c>
      <c r="T1103" s="32">
        <f t="shared" si="541"/>
        <v>0</v>
      </c>
      <c r="U1103" s="32">
        <f t="shared" si="541"/>
        <v>0</v>
      </c>
      <c r="V1103" s="32">
        <f t="shared" si="541"/>
        <v>0</v>
      </c>
      <c r="W1103" s="32">
        <f t="shared" si="541"/>
        <v>0</v>
      </c>
      <c r="X1103" s="32">
        <f t="shared" si="541"/>
        <v>0</v>
      </c>
      <c r="Y1103" s="32">
        <f t="shared" si="541"/>
        <v>0</v>
      </c>
      <c r="Z1103" s="32">
        <f t="shared" si="541"/>
        <v>0</v>
      </c>
      <c r="AA1103" s="32">
        <f t="shared" si="541"/>
        <v>0</v>
      </c>
      <c r="AB1103" s="32">
        <f t="shared" si="541"/>
        <v>0</v>
      </c>
      <c r="AC1103" s="32">
        <f t="shared" si="541"/>
        <v>45538.79</v>
      </c>
      <c r="AD1103" s="32">
        <f t="shared" si="541"/>
        <v>150000</v>
      </c>
      <c r="AE1103" s="32">
        <f t="shared" si="541"/>
        <v>0</v>
      </c>
      <c r="AF1103" s="113" t="s">
        <v>801</v>
      </c>
      <c r="AG1103" s="113" t="s">
        <v>801</v>
      </c>
      <c r="AH1103" s="114" t="s">
        <v>801</v>
      </c>
      <c r="AT1103" s="21" t="e">
        <f t="shared" si="527"/>
        <v>#N/A</v>
      </c>
    </row>
    <row r="1104" spans="1:46" ht="61.5" x14ac:dyDescent="0.85">
      <c r="A1104" s="21">
        <v>1</v>
      </c>
      <c r="B1104" s="70">
        <f>SUBTOTAL(103,$A$896:A1104)</f>
        <v>174</v>
      </c>
      <c r="C1104" s="25" t="s">
        <v>67</v>
      </c>
      <c r="D1104" s="32">
        <f t="shared" ref="D1104" si="542">E1104+F1104+G1104+H1104+I1104+J1104+L1104+N1104+P1104+R1104+T1104+U1104+V1104+W1104+X1104+Y1104+Z1104+AA1104+AB1104+AC1104+AD1104+AE1104</f>
        <v>3231458.3</v>
      </c>
      <c r="E1104" s="32">
        <v>0</v>
      </c>
      <c r="F1104" s="32">
        <v>0</v>
      </c>
      <c r="G1104" s="32">
        <v>0</v>
      </c>
      <c r="H1104" s="32">
        <v>0</v>
      </c>
      <c r="I1104" s="32">
        <v>0</v>
      </c>
      <c r="J1104" s="32">
        <v>0</v>
      </c>
      <c r="K1104" s="34">
        <v>0</v>
      </c>
      <c r="L1104" s="32">
        <v>0</v>
      </c>
      <c r="M1104" s="32">
        <v>670.8</v>
      </c>
      <c r="N1104" s="32">
        <v>3035919.51</v>
      </c>
      <c r="O1104" s="32">
        <v>0</v>
      </c>
      <c r="P1104" s="32">
        <v>0</v>
      </c>
      <c r="Q1104" s="32">
        <v>0</v>
      </c>
      <c r="R1104" s="32">
        <v>0</v>
      </c>
      <c r="S1104" s="32">
        <v>0</v>
      </c>
      <c r="T1104" s="32">
        <v>0</v>
      </c>
      <c r="U1104" s="32">
        <v>0</v>
      </c>
      <c r="V1104" s="32">
        <v>0</v>
      </c>
      <c r="W1104" s="32">
        <v>0</v>
      </c>
      <c r="X1104" s="32">
        <v>0</v>
      </c>
      <c r="Y1104" s="32">
        <v>0</v>
      </c>
      <c r="Z1104" s="32">
        <v>0</v>
      </c>
      <c r="AA1104" s="32">
        <v>0</v>
      </c>
      <c r="AB1104" s="32">
        <v>0</v>
      </c>
      <c r="AC1104" s="32">
        <f>ROUND(N1104*1.5%,2)</f>
        <v>45538.79</v>
      </c>
      <c r="AD1104" s="32">
        <v>150000</v>
      </c>
      <c r="AE1104" s="32">
        <v>0</v>
      </c>
      <c r="AF1104" s="35">
        <v>2022</v>
      </c>
      <c r="AG1104" s="35">
        <v>2022</v>
      </c>
      <c r="AH1104" s="36">
        <v>2022</v>
      </c>
      <c r="AT1104" s="21" t="e">
        <f t="shared" si="527"/>
        <v>#N/A</v>
      </c>
    </row>
    <row r="1105" spans="1:46" ht="61.5" x14ac:dyDescent="0.85">
      <c r="B1105" s="25" t="s">
        <v>895</v>
      </c>
      <c r="C1105" s="25"/>
      <c r="D1105" s="32">
        <f>D1106+D1107+D1108</f>
        <v>16849360.93</v>
      </c>
      <c r="E1105" s="32">
        <f t="shared" ref="E1105:AE1105" si="543">E1106+E1107+E1108</f>
        <v>451170.83</v>
      </c>
      <c r="F1105" s="32">
        <f t="shared" si="543"/>
        <v>885201.84</v>
      </c>
      <c r="G1105" s="32">
        <f t="shared" si="543"/>
        <v>1880858.0000000002</v>
      </c>
      <c r="H1105" s="32">
        <f t="shared" si="543"/>
        <v>667182.5</v>
      </c>
      <c r="I1105" s="32">
        <f t="shared" si="543"/>
        <v>0</v>
      </c>
      <c r="J1105" s="32">
        <f t="shared" si="543"/>
        <v>0</v>
      </c>
      <c r="K1105" s="34">
        <f t="shared" si="543"/>
        <v>0</v>
      </c>
      <c r="L1105" s="32">
        <f t="shared" si="543"/>
        <v>0</v>
      </c>
      <c r="M1105" s="32">
        <f t="shared" si="543"/>
        <v>2286.5</v>
      </c>
      <c r="N1105" s="32">
        <f t="shared" si="543"/>
        <v>12065696.120000001</v>
      </c>
      <c r="O1105" s="32">
        <f t="shared" si="543"/>
        <v>0</v>
      </c>
      <c r="P1105" s="32">
        <f t="shared" si="543"/>
        <v>0</v>
      </c>
      <c r="Q1105" s="32">
        <f t="shared" si="543"/>
        <v>0</v>
      </c>
      <c r="R1105" s="32">
        <f t="shared" si="543"/>
        <v>0</v>
      </c>
      <c r="S1105" s="32">
        <f t="shared" si="543"/>
        <v>0</v>
      </c>
      <c r="T1105" s="32">
        <f t="shared" si="543"/>
        <v>0</v>
      </c>
      <c r="U1105" s="32">
        <f t="shared" si="543"/>
        <v>0</v>
      </c>
      <c r="V1105" s="32">
        <f t="shared" si="543"/>
        <v>0</v>
      </c>
      <c r="W1105" s="32">
        <f t="shared" si="543"/>
        <v>0</v>
      </c>
      <c r="X1105" s="32">
        <f t="shared" si="543"/>
        <v>0</v>
      </c>
      <c r="Y1105" s="32">
        <f t="shared" si="543"/>
        <v>0</v>
      </c>
      <c r="Z1105" s="32">
        <f t="shared" si="543"/>
        <v>0</v>
      </c>
      <c r="AA1105" s="32">
        <f t="shared" si="543"/>
        <v>0</v>
      </c>
      <c r="AB1105" s="32">
        <f t="shared" si="543"/>
        <v>0</v>
      </c>
      <c r="AC1105" s="32">
        <f t="shared" si="543"/>
        <v>239251.64</v>
      </c>
      <c r="AD1105" s="32">
        <f t="shared" si="543"/>
        <v>660000</v>
      </c>
      <c r="AE1105" s="32">
        <f t="shared" si="543"/>
        <v>0</v>
      </c>
      <c r="AF1105" s="113" t="s">
        <v>801</v>
      </c>
      <c r="AG1105" s="113" t="s">
        <v>801</v>
      </c>
      <c r="AH1105" s="114" t="s">
        <v>801</v>
      </c>
      <c r="AT1105" s="21" t="e">
        <f t="shared" si="527"/>
        <v>#N/A</v>
      </c>
    </row>
    <row r="1106" spans="1:46" ht="61.5" x14ac:dyDescent="0.85">
      <c r="A1106" s="21">
        <v>1</v>
      </c>
      <c r="B1106" s="70">
        <f>SUBTOTAL(103,$A$896:A1106)</f>
        <v>175</v>
      </c>
      <c r="C1106" s="25" t="s">
        <v>70</v>
      </c>
      <c r="D1106" s="32">
        <f t="shared" ref="D1106:D1108" si="544">E1106+F1106+G1106+H1106+I1106+J1106+L1106+N1106+P1106+R1106+T1106+U1106+V1106+W1106+X1106+Y1106+Z1106+AA1106+AB1106+AC1106+AD1106+AE1106</f>
        <v>5782944.25</v>
      </c>
      <c r="E1106" s="32">
        <v>0</v>
      </c>
      <c r="F1106" s="32">
        <v>0</v>
      </c>
      <c r="G1106" s="32">
        <v>0</v>
      </c>
      <c r="H1106" s="32">
        <v>0</v>
      </c>
      <c r="I1106" s="32">
        <v>0</v>
      </c>
      <c r="J1106" s="32">
        <v>0</v>
      </c>
      <c r="K1106" s="34">
        <v>0</v>
      </c>
      <c r="L1106" s="32">
        <v>0</v>
      </c>
      <c r="M1106" s="32">
        <v>1047.5999999999999</v>
      </c>
      <c r="N1106" s="32">
        <v>5520142.1200000001</v>
      </c>
      <c r="O1106" s="32">
        <v>0</v>
      </c>
      <c r="P1106" s="32">
        <v>0</v>
      </c>
      <c r="Q1106" s="32">
        <v>0</v>
      </c>
      <c r="R1106" s="32">
        <v>0</v>
      </c>
      <c r="S1106" s="32">
        <v>0</v>
      </c>
      <c r="T1106" s="32">
        <v>0</v>
      </c>
      <c r="U1106" s="32">
        <v>0</v>
      </c>
      <c r="V1106" s="32">
        <v>0</v>
      </c>
      <c r="W1106" s="32">
        <v>0</v>
      </c>
      <c r="X1106" s="32">
        <v>0</v>
      </c>
      <c r="Y1106" s="32">
        <v>0</v>
      </c>
      <c r="Z1106" s="32">
        <v>0</v>
      </c>
      <c r="AA1106" s="32">
        <v>0</v>
      </c>
      <c r="AB1106" s="32">
        <v>0</v>
      </c>
      <c r="AC1106" s="32">
        <f t="shared" ref="AC1106:AC1107" si="545">ROUND(N1106*1.5%,2)</f>
        <v>82802.13</v>
      </c>
      <c r="AD1106" s="32">
        <v>180000</v>
      </c>
      <c r="AE1106" s="32">
        <v>0</v>
      </c>
      <c r="AF1106" s="35">
        <v>2022</v>
      </c>
      <c r="AG1106" s="35">
        <v>2022</v>
      </c>
      <c r="AH1106" s="36">
        <v>2022</v>
      </c>
      <c r="AT1106" s="21" t="e">
        <f t="shared" si="527"/>
        <v>#N/A</v>
      </c>
    </row>
    <row r="1107" spans="1:46" ht="61.5" x14ac:dyDescent="0.85">
      <c r="A1107" s="21">
        <v>1</v>
      </c>
      <c r="B1107" s="70">
        <f>SUBTOTAL(103,$A$896:A1107)</f>
        <v>176</v>
      </c>
      <c r="C1107" s="25" t="s">
        <v>69</v>
      </c>
      <c r="D1107" s="32">
        <f t="shared" si="544"/>
        <v>6823737.3099999996</v>
      </c>
      <c r="E1107" s="32">
        <v>0</v>
      </c>
      <c r="F1107" s="32">
        <v>0</v>
      </c>
      <c r="G1107" s="32">
        <v>0</v>
      </c>
      <c r="H1107" s="32">
        <v>0</v>
      </c>
      <c r="I1107" s="32">
        <v>0</v>
      </c>
      <c r="J1107" s="32">
        <v>0</v>
      </c>
      <c r="K1107" s="34">
        <v>0</v>
      </c>
      <c r="L1107" s="32">
        <v>0</v>
      </c>
      <c r="M1107" s="32">
        <v>1238.9000000000001</v>
      </c>
      <c r="N1107" s="32">
        <v>6545554</v>
      </c>
      <c r="O1107" s="32">
        <v>0</v>
      </c>
      <c r="P1107" s="32">
        <v>0</v>
      </c>
      <c r="Q1107" s="32">
        <v>0</v>
      </c>
      <c r="R1107" s="32">
        <v>0</v>
      </c>
      <c r="S1107" s="32">
        <v>0</v>
      </c>
      <c r="T1107" s="32">
        <v>0</v>
      </c>
      <c r="U1107" s="32">
        <v>0</v>
      </c>
      <c r="V1107" s="32">
        <v>0</v>
      </c>
      <c r="W1107" s="32">
        <v>0</v>
      </c>
      <c r="X1107" s="32">
        <v>0</v>
      </c>
      <c r="Y1107" s="32">
        <v>0</v>
      </c>
      <c r="Z1107" s="32">
        <v>0</v>
      </c>
      <c r="AA1107" s="32">
        <v>0</v>
      </c>
      <c r="AB1107" s="32">
        <v>0</v>
      </c>
      <c r="AC1107" s="32">
        <f t="shared" si="545"/>
        <v>98183.31</v>
      </c>
      <c r="AD1107" s="32">
        <v>180000</v>
      </c>
      <c r="AE1107" s="32">
        <v>0</v>
      </c>
      <c r="AF1107" s="35">
        <v>2022</v>
      </c>
      <c r="AG1107" s="35">
        <v>2022</v>
      </c>
      <c r="AH1107" s="36">
        <v>2022</v>
      </c>
      <c r="AT1107" s="21" t="e">
        <f t="shared" si="527"/>
        <v>#N/A</v>
      </c>
    </row>
    <row r="1108" spans="1:46" ht="61.5" x14ac:dyDescent="0.85">
      <c r="A1108" s="21">
        <v>1</v>
      </c>
      <c r="B1108" s="70">
        <f>SUBTOTAL(103,$A$896:A1108)</f>
        <v>177</v>
      </c>
      <c r="C1108" s="25" t="s">
        <v>68</v>
      </c>
      <c r="D1108" s="32">
        <f t="shared" si="544"/>
        <v>4242679.37</v>
      </c>
      <c r="E1108" s="32">
        <v>451170.83</v>
      </c>
      <c r="F1108" s="32">
        <v>885201.84</v>
      </c>
      <c r="G1108" s="32">
        <v>1880858.0000000002</v>
      </c>
      <c r="H1108" s="32">
        <v>667182.5</v>
      </c>
      <c r="I1108" s="32">
        <v>0</v>
      </c>
      <c r="J1108" s="32">
        <v>0</v>
      </c>
      <c r="K1108" s="34">
        <v>0</v>
      </c>
      <c r="L1108" s="32">
        <v>0</v>
      </c>
      <c r="M1108" s="32">
        <v>0</v>
      </c>
      <c r="N1108" s="32">
        <v>0</v>
      </c>
      <c r="O1108" s="32">
        <v>0</v>
      </c>
      <c r="P1108" s="32">
        <v>0</v>
      </c>
      <c r="Q1108" s="32">
        <v>0</v>
      </c>
      <c r="R1108" s="32">
        <v>0</v>
      </c>
      <c r="S1108" s="32">
        <v>0</v>
      </c>
      <c r="T1108" s="32">
        <v>0</v>
      </c>
      <c r="U1108" s="32">
        <v>0</v>
      </c>
      <c r="V1108" s="32">
        <v>0</v>
      </c>
      <c r="W1108" s="32">
        <v>0</v>
      </c>
      <c r="X1108" s="32">
        <v>0</v>
      </c>
      <c r="Y1108" s="32">
        <v>0</v>
      </c>
      <c r="Z1108" s="32">
        <v>0</v>
      </c>
      <c r="AA1108" s="32">
        <v>0</v>
      </c>
      <c r="AB1108" s="32">
        <v>0</v>
      </c>
      <c r="AC1108" s="32">
        <f>ROUND((E1108+F1108+G1108+H1108+I1108+J1108)*1.5%,2)</f>
        <v>58266.2</v>
      </c>
      <c r="AD1108" s="32">
        <v>300000</v>
      </c>
      <c r="AE1108" s="32">
        <v>0</v>
      </c>
      <c r="AF1108" s="35">
        <v>2022</v>
      </c>
      <c r="AG1108" s="35">
        <v>2022</v>
      </c>
      <c r="AH1108" s="36">
        <v>2022</v>
      </c>
      <c r="AT1108" s="21" t="e">
        <f t="shared" si="527"/>
        <v>#N/A</v>
      </c>
    </row>
    <row r="1109" spans="1:46" ht="61.5" x14ac:dyDescent="0.85">
      <c r="B1109" s="25" t="s">
        <v>896</v>
      </c>
      <c r="C1109" s="25"/>
      <c r="D1109" s="32">
        <f>D1110</f>
        <v>3799734.79</v>
      </c>
      <c r="E1109" s="32">
        <f t="shared" ref="E1109:AE1109" si="546">E1110</f>
        <v>0</v>
      </c>
      <c r="F1109" s="32">
        <f t="shared" si="546"/>
        <v>0</v>
      </c>
      <c r="G1109" s="32">
        <f t="shared" si="546"/>
        <v>0</v>
      </c>
      <c r="H1109" s="32">
        <f t="shared" si="546"/>
        <v>0</v>
      </c>
      <c r="I1109" s="32">
        <f t="shared" si="546"/>
        <v>0</v>
      </c>
      <c r="J1109" s="32">
        <f t="shared" si="546"/>
        <v>0</v>
      </c>
      <c r="K1109" s="34">
        <f t="shared" si="546"/>
        <v>0</v>
      </c>
      <c r="L1109" s="32">
        <f t="shared" si="546"/>
        <v>0</v>
      </c>
      <c r="M1109" s="32">
        <f t="shared" si="546"/>
        <v>0</v>
      </c>
      <c r="N1109" s="32">
        <f t="shared" si="546"/>
        <v>0</v>
      </c>
      <c r="O1109" s="32">
        <f t="shared" si="546"/>
        <v>0</v>
      </c>
      <c r="P1109" s="32">
        <f t="shared" si="546"/>
        <v>0</v>
      </c>
      <c r="Q1109" s="32">
        <f t="shared" si="546"/>
        <v>0</v>
      </c>
      <c r="R1109" s="32">
        <f t="shared" si="546"/>
        <v>0</v>
      </c>
      <c r="S1109" s="32">
        <f t="shared" si="546"/>
        <v>72.77</v>
      </c>
      <c r="T1109" s="32">
        <f t="shared" si="546"/>
        <v>3595797.82</v>
      </c>
      <c r="U1109" s="32">
        <f t="shared" si="546"/>
        <v>0</v>
      </c>
      <c r="V1109" s="32">
        <f t="shared" si="546"/>
        <v>0</v>
      </c>
      <c r="W1109" s="32">
        <f t="shared" si="546"/>
        <v>0</v>
      </c>
      <c r="X1109" s="32">
        <f t="shared" si="546"/>
        <v>0</v>
      </c>
      <c r="Y1109" s="32">
        <f t="shared" si="546"/>
        <v>0</v>
      </c>
      <c r="Z1109" s="32">
        <f t="shared" si="546"/>
        <v>0</v>
      </c>
      <c r="AA1109" s="32">
        <f t="shared" si="546"/>
        <v>0</v>
      </c>
      <c r="AB1109" s="32">
        <f t="shared" si="546"/>
        <v>0</v>
      </c>
      <c r="AC1109" s="32">
        <f t="shared" si="546"/>
        <v>53936.97</v>
      </c>
      <c r="AD1109" s="32">
        <f t="shared" si="546"/>
        <v>150000</v>
      </c>
      <c r="AE1109" s="32">
        <f t="shared" si="546"/>
        <v>0</v>
      </c>
      <c r="AF1109" s="113" t="s">
        <v>801</v>
      </c>
      <c r="AG1109" s="113" t="s">
        <v>801</v>
      </c>
      <c r="AH1109" s="114" t="s">
        <v>801</v>
      </c>
      <c r="AT1109" s="21" t="e">
        <f t="shared" si="527"/>
        <v>#N/A</v>
      </c>
    </row>
    <row r="1110" spans="1:46" ht="61.5" x14ac:dyDescent="0.85">
      <c r="A1110" s="21">
        <v>1</v>
      </c>
      <c r="B1110" s="70">
        <f>SUBTOTAL(103,$A$896:A1110)</f>
        <v>178</v>
      </c>
      <c r="C1110" s="25" t="s">
        <v>66</v>
      </c>
      <c r="D1110" s="32">
        <f t="shared" ref="D1110" si="547">E1110+F1110+G1110+H1110+I1110+J1110+L1110+N1110+P1110+R1110+T1110+U1110+V1110+W1110+X1110+Y1110+Z1110+AA1110+AB1110+AC1110+AD1110+AE1110</f>
        <v>3799734.79</v>
      </c>
      <c r="E1110" s="32">
        <v>0</v>
      </c>
      <c r="F1110" s="32">
        <v>0</v>
      </c>
      <c r="G1110" s="32">
        <v>0</v>
      </c>
      <c r="H1110" s="32">
        <v>0</v>
      </c>
      <c r="I1110" s="32">
        <v>0</v>
      </c>
      <c r="J1110" s="32">
        <v>0</v>
      </c>
      <c r="K1110" s="34">
        <v>0</v>
      </c>
      <c r="L1110" s="32">
        <v>0</v>
      </c>
      <c r="M1110" s="32">
        <v>0</v>
      </c>
      <c r="N1110" s="32">
        <v>0</v>
      </c>
      <c r="O1110" s="32">
        <v>0</v>
      </c>
      <c r="P1110" s="32">
        <v>0</v>
      </c>
      <c r="Q1110" s="32">
        <v>0</v>
      </c>
      <c r="R1110" s="32">
        <v>0</v>
      </c>
      <c r="S1110" s="32">
        <v>72.77</v>
      </c>
      <c r="T1110" s="32">
        <v>3595797.82</v>
      </c>
      <c r="U1110" s="32">
        <v>0</v>
      </c>
      <c r="V1110" s="32">
        <v>0</v>
      </c>
      <c r="W1110" s="32">
        <v>0</v>
      </c>
      <c r="X1110" s="32">
        <v>0</v>
      </c>
      <c r="Y1110" s="32">
        <v>0</v>
      </c>
      <c r="Z1110" s="32">
        <v>0</v>
      </c>
      <c r="AA1110" s="32">
        <v>0</v>
      </c>
      <c r="AB1110" s="32">
        <v>0</v>
      </c>
      <c r="AC1110" s="32">
        <f>ROUND(T1110*1.5%,2)</f>
        <v>53936.97</v>
      </c>
      <c r="AD1110" s="32">
        <v>150000</v>
      </c>
      <c r="AE1110" s="32">
        <v>0</v>
      </c>
      <c r="AF1110" s="35">
        <v>2022</v>
      </c>
      <c r="AG1110" s="35">
        <v>2022</v>
      </c>
      <c r="AH1110" s="36">
        <v>2022</v>
      </c>
      <c r="AT1110" s="21" t="e">
        <f t="shared" si="527"/>
        <v>#N/A</v>
      </c>
    </row>
    <row r="1111" spans="1:46" ht="61.5" x14ac:dyDescent="0.85">
      <c r="B1111" s="25" t="s">
        <v>897</v>
      </c>
      <c r="C1111" s="25"/>
      <c r="D1111" s="32">
        <f>D1112</f>
        <v>2311215.4500000002</v>
      </c>
      <c r="E1111" s="32">
        <f t="shared" ref="E1111:AE1111" si="548">E1112</f>
        <v>0</v>
      </c>
      <c r="F1111" s="32">
        <f t="shared" si="548"/>
        <v>0</v>
      </c>
      <c r="G1111" s="32">
        <f t="shared" si="548"/>
        <v>0</v>
      </c>
      <c r="H1111" s="32">
        <f t="shared" si="548"/>
        <v>0</v>
      </c>
      <c r="I1111" s="32">
        <f t="shared" si="548"/>
        <v>0</v>
      </c>
      <c r="J1111" s="32">
        <f t="shared" si="548"/>
        <v>0</v>
      </c>
      <c r="K1111" s="34">
        <f t="shared" si="548"/>
        <v>0</v>
      </c>
      <c r="L1111" s="32">
        <f t="shared" si="548"/>
        <v>0</v>
      </c>
      <c r="M1111" s="32">
        <f t="shared" si="548"/>
        <v>470</v>
      </c>
      <c r="N1111" s="32">
        <f t="shared" si="548"/>
        <v>2158832.96</v>
      </c>
      <c r="O1111" s="32">
        <f t="shared" si="548"/>
        <v>0</v>
      </c>
      <c r="P1111" s="32">
        <f t="shared" si="548"/>
        <v>0</v>
      </c>
      <c r="Q1111" s="32">
        <f t="shared" si="548"/>
        <v>0</v>
      </c>
      <c r="R1111" s="32">
        <f t="shared" si="548"/>
        <v>0</v>
      </c>
      <c r="S1111" s="32">
        <f t="shared" si="548"/>
        <v>0</v>
      </c>
      <c r="T1111" s="32">
        <f t="shared" si="548"/>
        <v>0</v>
      </c>
      <c r="U1111" s="32">
        <f t="shared" si="548"/>
        <v>0</v>
      </c>
      <c r="V1111" s="32">
        <f t="shared" si="548"/>
        <v>0</v>
      </c>
      <c r="W1111" s="32">
        <f t="shared" si="548"/>
        <v>0</v>
      </c>
      <c r="X1111" s="32">
        <f t="shared" si="548"/>
        <v>0</v>
      </c>
      <c r="Y1111" s="32">
        <f t="shared" si="548"/>
        <v>0</v>
      </c>
      <c r="Z1111" s="32">
        <f t="shared" si="548"/>
        <v>0</v>
      </c>
      <c r="AA1111" s="32">
        <f t="shared" si="548"/>
        <v>0</v>
      </c>
      <c r="AB1111" s="32">
        <f t="shared" si="548"/>
        <v>0</v>
      </c>
      <c r="AC1111" s="32">
        <f t="shared" si="548"/>
        <v>32382.49</v>
      </c>
      <c r="AD1111" s="32">
        <f t="shared" si="548"/>
        <v>120000</v>
      </c>
      <c r="AE1111" s="32">
        <f t="shared" si="548"/>
        <v>0</v>
      </c>
      <c r="AF1111" s="113" t="s">
        <v>801</v>
      </c>
      <c r="AG1111" s="113" t="s">
        <v>801</v>
      </c>
      <c r="AH1111" s="114" t="s">
        <v>801</v>
      </c>
      <c r="AT1111" s="21" t="e">
        <f t="shared" si="527"/>
        <v>#N/A</v>
      </c>
    </row>
    <row r="1112" spans="1:46" ht="61.5" x14ac:dyDescent="0.85">
      <c r="A1112" s="21">
        <v>1</v>
      </c>
      <c r="B1112" s="70">
        <f>SUBTOTAL(103,$A$896:A1112)</f>
        <v>179</v>
      </c>
      <c r="C1112" s="25" t="s">
        <v>65</v>
      </c>
      <c r="D1112" s="32">
        <f t="shared" ref="D1112" si="549">E1112+F1112+G1112+H1112+I1112+J1112+L1112+N1112+P1112+R1112+T1112+U1112+V1112+W1112+X1112+Y1112+Z1112+AA1112+AB1112+AC1112+AD1112+AE1112</f>
        <v>2311215.4500000002</v>
      </c>
      <c r="E1112" s="32">
        <v>0</v>
      </c>
      <c r="F1112" s="32">
        <v>0</v>
      </c>
      <c r="G1112" s="32">
        <v>0</v>
      </c>
      <c r="H1112" s="32">
        <v>0</v>
      </c>
      <c r="I1112" s="32">
        <v>0</v>
      </c>
      <c r="J1112" s="32">
        <v>0</v>
      </c>
      <c r="K1112" s="34">
        <v>0</v>
      </c>
      <c r="L1112" s="32">
        <v>0</v>
      </c>
      <c r="M1112" s="32">
        <v>470</v>
      </c>
      <c r="N1112" s="32">
        <v>2158832.96</v>
      </c>
      <c r="O1112" s="32">
        <v>0</v>
      </c>
      <c r="P1112" s="32">
        <v>0</v>
      </c>
      <c r="Q1112" s="32">
        <v>0</v>
      </c>
      <c r="R1112" s="32">
        <v>0</v>
      </c>
      <c r="S1112" s="32">
        <v>0</v>
      </c>
      <c r="T1112" s="32">
        <v>0</v>
      </c>
      <c r="U1112" s="32">
        <v>0</v>
      </c>
      <c r="V1112" s="32">
        <v>0</v>
      </c>
      <c r="W1112" s="32">
        <v>0</v>
      </c>
      <c r="X1112" s="32">
        <v>0</v>
      </c>
      <c r="Y1112" s="32">
        <v>0</v>
      </c>
      <c r="Z1112" s="32">
        <v>0</v>
      </c>
      <c r="AA1112" s="32">
        <v>0</v>
      </c>
      <c r="AB1112" s="32">
        <v>0</v>
      </c>
      <c r="AC1112" s="32">
        <f>ROUND(N1112*1.5%,2)</f>
        <v>32382.49</v>
      </c>
      <c r="AD1112" s="32">
        <v>120000</v>
      </c>
      <c r="AE1112" s="32">
        <v>0</v>
      </c>
      <c r="AF1112" s="35">
        <v>2022</v>
      </c>
      <c r="AG1112" s="35">
        <v>2022</v>
      </c>
      <c r="AH1112" s="36">
        <v>2022</v>
      </c>
      <c r="AT1112" s="21" t="e">
        <f t="shared" si="527"/>
        <v>#N/A</v>
      </c>
    </row>
    <row r="1113" spans="1:46" ht="61.5" x14ac:dyDescent="0.85">
      <c r="B1113" s="25" t="s">
        <v>936</v>
      </c>
      <c r="C1113" s="25"/>
      <c r="D1113" s="32">
        <f>D1114</f>
        <v>3215375.5700000003</v>
      </c>
      <c r="E1113" s="32">
        <f t="shared" ref="E1113:AE1113" si="550">E1114</f>
        <v>0</v>
      </c>
      <c r="F1113" s="32">
        <f t="shared" si="550"/>
        <v>0</v>
      </c>
      <c r="G1113" s="32">
        <f t="shared" si="550"/>
        <v>0</v>
      </c>
      <c r="H1113" s="32">
        <f t="shared" si="550"/>
        <v>0</v>
      </c>
      <c r="I1113" s="32">
        <f t="shared" si="550"/>
        <v>0</v>
      </c>
      <c r="J1113" s="32">
        <f t="shared" si="550"/>
        <v>0</v>
      </c>
      <c r="K1113" s="34">
        <f t="shared" si="550"/>
        <v>0</v>
      </c>
      <c r="L1113" s="32">
        <f t="shared" si="550"/>
        <v>0</v>
      </c>
      <c r="M1113" s="32">
        <f t="shared" si="550"/>
        <v>615.76</v>
      </c>
      <c r="N1113" s="32">
        <f t="shared" si="550"/>
        <v>3020074.45</v>
      </c>
      <c r="O1113" s="32">
        <f t="shared" si="550"/>
        <v>0</v>
      </c>
      <c r="P1113" s="32">
        <f t="shared" si="550"/>
        <v>0</v>
      </c>
      <c r="Q1113" s="32">
        <f t="shared" si="550"/>
        <v>0</v>
      </c>
      <c r="R1113" s="32">
        <f t="shared" si="550"/>
        <v>0</v>
      </c>
      <c r="S1113" s="32">
        <f t="shared" si="550"/>
        <v>0</v>
      </c>
      <c r="T1113" s="32">
        <f t="shared" si="550"/>
        <v>0</v>
      </c>
      <c r="U1113" s="32">
        <f t="shared" si="550"/>
        <v>0</v>
      </c>
      <c r="V1113" s="32">
        <f t="shared" si="550"/>
        <v>0</v>
      </c>
      <c r="W1113" s="32">
        <f t="shared" si="550"/>
        <v>0</v>
      </c>
      <c r="X1113" s="32">
        <f t="shared" si="550"/>
        <v>0</v>
      </c>
      <c r="Y1113" s="32">
        <f t="shared" si="550"/>
        <v>0</v>
      </c>
      <c r="Z1113" s="32">
        <f t="shared" si="550"/>
        <v>0</v>
      </c>
      <c r="AA1113" s="32">
        <f t="shared" si="550"/>
        <v>0</v>
      </c>
      <c r="AB1113" s="32">
        <f t="shared" si="550"/>
        <v>0</v>
      </c>
      <c r="AC1113" s="32">
        <f t="shared" si="550"/>
        <v>45301.120000000003</v>
      </c>
      <c r="AD1113" s="32">
        <f t="shared" si="550"/>
        <v>150000</v>
      </c>
      <c r="AE1113" s="32">
        <f t="shared" si="550"/>
        <v>0</v>
      </c>
      <c r="AF1113" s="113" t="s">
        <v>801</v>
      </c>
      <c r="AG1113" s="113" t="s">
        <v>801</v>
      </c>
      <c r="AH1113" s="114" t="s">
        <v>801</v>
      </c>
      <c r="AT1113" s="21" t="e">
        <f t="shared" si="527"/>
        <v>#N/A</v>
      </c>
    </row>
    <row r="1114" spans="1:46" ht="61.5" x14ac:dyDescent="0.85">
      <c r="A1114" s="21">
        <v>1</v>
      </c>
      <c r="B1114" s="70">
        <f>SUBTOTAL(103,$A$896:A1114)</f>
        <v>180</v>
      </c>
      <c r="C1114" s="25" t="s">
        <v>71</v>
      </c>
      <c r="D1114" s="32">
        <f t="shared" ref="D1114" si="551">E1114+F1114+G1114+H1114+I1114+J1114+L1114+N1114+P1114+R1114+T1114+U1114+V1114+W1114+X1114+Y1114+Z1114+AA1114+AB1114+AC1114+AD1114+AE1114</f>
        <v>3215375.5700000003</v>
      </c>
      <c r="E1114" s="32">
        <v>0</v>
      </c>
      <c r="F1114" s="32">
        <v>0</v>
      </c>
      <c r="G1114" s="32">
        <v>0</v>
      </c>
      <c r="H1114" s="32">
        <v>0</v>
      </c>
      <c r="I1114" s="32">
        <v>0</v>
      </c>
      <c r="J1114" s="32">
        <v>0</v>
      </c>
      <c r="K1114" s="34">
        <v>0</v>
      </c>
      <c r="L1114" s="32">
        <v>0</v>
      </c>
      <c r="M1114" s="32">
        <v>615.76</v>
      </c>
      <c r="N1114" s="32">
        <v>3020074.45</v>
      </c>
      <c r="O1114" s="32">
        <v>0</v>
      </c>
      <c r="P1114" s="32">
        <v>0</v>
      </c>
      <c r="Q1114" s="32">
        <v>0</v>
      </c>
      <c r="R1114" s="32">
        <v>0</v>
      </c>
      <c r="S1114" s="32">
        <v>0</v>
      </c>
      <c r="T1114" s="32">
        <v>0</v>
      </c>
      <c r="U1114" s="32">
        <v>0</v>
      </c>
      <c r="V1114" s="32">
        <v>0</v>
      </c>
      <c r="W1114" s="32">
        <v>0</v>
      </c>
      <c r="X1114" s="32">
        <v>0</v>
      </c>
      <c r="Y1114" s="32">
        <v>0</v>
      </c>
      <c r="Z1114" s="32">
        <v>0</v>
      </c>
      <c r="AA1114" s="32">
        <v>0</v>
      </c>
      <c r="AB1114" s="32">
        <v>0</v>
      </c>
      <c r="AC1114" s="32">
        <f>ROUND(N1114*1.5%,2)</f>
        <v>45301.120000000003</v>
      </c>
      <c r="AD1114" s="32">
        <v>150000</v>
      </c>
      <c r="AE1114" s="32">
        <v>0</v>
      </c>
      <c r="AF1114" s="35">
        <v>2022</v>
      </c>
      <c r="AG1114" s="35">
        <v>2022</v>
      </c>
      <c r="AH1114" s="36">
        <v>2022</v>
      </c>
      <c r="AT1114" s="21" t="e">
        <f t="shared" si="527"/>
        <v>#N/A</v>
      </c>
    </row>
    <row r="1115" spans="1:46" ht="61.5" x14ac:dyDescent="0.85">
      <c r="B1115" s="25" t="s">
        <v>898</v>
      </c>
      <c r="C1115" s="25"/>
      <c r="D1115" s="32">
        <f>D1116+D1117+D1118</f>
        <v>10672314.84</v>
      </c>
      <c r="E1115" s="32">
        <f t="shared" ref="E1115:AE1115" si="552">E1116+E1117+E1118</f>
        <v>0</v>
      </c>
      <c r="F1115" s="32">
        <f t="shared" si="552"/>
        <v>0</v>
      </c>
      <c r="G1115" s="32">
        <f t="shared" si="552"/>
        <v>0</v>
      </c>
      <c r="H1115" s="32">
        <f t="shared" si="552"/>
        <v>0</v>
      </c>
      <c r="I1115" s="32">
        <f t="shared" si="552"/>
        <v>0</v>
      </c>
      <c r="J1115" s="32">
        <f t="shared" si="552"/>
        <v>0</v>
      </c>
      <c r="K1115" s="34">
        <f t="shared" si="552"/>
        <v>0</v>
      </c>
      <c r="L1115" s="32">
        <f t="shared" si="552"/>
        <v>0</v>
      </c>
      <c r="M1115" s="32">
        <f t="shared" si="552"/>
        <v>2043.8</v>
      </c>
      <c r="N1115" s="32">
        <f t="shared" si="552"/>
        <v>10100802.800000001</v>
      </c>
      <c r="O1115" s="32">
        <f t="shared" si="552"/>
        <v>0</v>
      </c>
      <c r="P1115" s="32">
        <f t="shared" si="552"/>
        <v>0</v>
      </c>
      <c r="Q1115" s="32">
        <f t="shared" si="552"/>
        <v>0</v>
      </c>
      <c r="R1115" s="32">
        <f t="shared" si="552"/>
        <v>0</v>
      </c>
      <c r="S1115" s="32">
        <f t="shared" si="552"/>
        <v>0</v>
      </c>
      <c r="T1115" s="32">
        <f t="shared" si="552"/>
        <v>0</v>
      </c>
      <c r="U1115" s="32">
        <f t="shared" si="552"/>
        <v>0</v>
      </c>
      <c r="V1115" s="32">
        <f t="shared" si="552"/>
        <v>0</v>
      </c>
      <c r="W1115" s="32">
        <f t="shared" si="552"/>
        <v>0</v>
      </c>
      <c r="X1115" s="32">
        <f t="shared" si="552"/>
        <v>0</v>
      </c>
      <c r="Y1115" s="32">
        <f t="shared" si="552"/>
        <v>0</v>
      </c>
      <c r="Z1115" s="32">
        <f t="shared" si="552"/>
        <v>0</v>
      </c>
      <c r="AA1115" s="32">
        <f t="shared" si="552"/>
        <v>0</v>
      </c>
      <c r="AB1115" s="32">
        <f t="shared" si="552"/>
        <v>0</v>
      </c>
      <c r="AC1115" s="32">
        <f t="shared" si="552"/>
        <v>151512.04</v>
      </c>
      <c r="AD1115" s="32">
        <f t="shared" si="552"/>
        <v>420000</v>
      </c>
      <c r="AE1115" s="32">
        <f t="shared" si="552"/>
        <v>0</v>
      </c>
      <c r="AF1115" s="113" t="s">
        <v>801</v>
      </c>
      <c r="AG1115" s="113" t="s">
        <v>801</v>
      </c>
      <c r="AH1115" s="114" t="s">
        <v>801</v>
      </c>
      <c r="AT1115" s="21" t="e">
        <f t="shared" si="527"/>
        <v>#N/A</v>
      </c>
    </row>
    <row r="1116" spans="1:46" ht="61.5" x14ac:dyDescent="0.85">
      <c r="A1116" s="21">
        <v>1</v>
      </c>
      <c r="B1116" s="70">
        <f>SUBTOTAL(103,$A$896:A1116)</f>
        <v>181</v>
      </c>
      <c r="C1116" s="25" t="s">
        <v>72</v>
      </c>
      <c r="D1116" s="32">
        <f t="shared" ref="D1116:D1118" si="553">E1116+F1116+G1116+H1116+I1116+J1116+L1116+N1116+P1116+R1116+T1116+U1116+V1116+W1116+X1116+Y1116+Z1116+AA1116+AB1116+AC1116+AD1116+AE1116</f>
        <v>2391584.4</v>
      </c>
      <c r="E1116" s="32">
        <v>0</v>
      </c>
      <c r="F1116" s="32">
        <v>0</v>
      </c>
      <c r="G1116" s="32">
        <v>0</v>
      </c>
      <c r="H1116" s="32">
        <v>0</v>
      </c>
      <c r="I1116" s="32">
        <v>0</v>
      </c>
      <c r="J1116" s="32">
        <v>0</v>
      </c>
      <c r="K1116" s="34">
        <v>0</v>
      </c>
      <c r="L1116" s="32">
        <v>0</v>
      </c>
      <c r="M1116" s="32">
        <v>458</v>
      </c>
      <c r="N1116" s="32">
        <v>2238014.19</v>
      </c>
      <c r="O1116" s="32">
        <v>0</v>
      </c>
      <c r="P1116" s="32">
        <v>0</v>
      </c>
      <c r="Q1116" s="32">
        <v>0</v>
      </c>
      <c r="R1116" s="32">
        <v>0</v>
      </c>
      <c r="S1116" s="32">
        <v>0</v>
      </c>
      <c r="T1116" s="32">
        <v>0</v>
      </c>
      <c r="U1116" s="32">
        <v>0</v>
      </c>
      <c r="V1116" s="32">
        <v>0</v>
      </c>
      <c r="W1116" s="32">
        <v>0</v>
      </c>
      <c r="X1116" s="32">
        <v>0</v>
      </c>
      <c r="Y1116" s="32">
        <v>0</v>
      </c>
      <c r="Z1116" s="32">
        <v>0</v>
      </c>
      <c r="AA1116" s="32">
        <v>0</v>
      </c>
      <c r="AB1116" s="32">
        <v>0</v>
      </c>
      <c r="AC1116" s="32">
        <f t="shared" ref="AC1116:AC1118" si="554">ROUND(N1116*1.5%,2)</f>
        <v>33570.21</v>
      </c>
      <c r="AD1116" s="32">
        <v>120000</v>
      </c>
      <c r="AE1116" s="32">
        <v>0</v>
      </c>
      <c r="AF1116" s="35">
        <v>2022</v>
      </c>
      <c r="AG1116" s="35">
        <v>2022</v>
      </c>
      <c r="AH1116" s="36">
        <v>2022</v>
      </c>
      <c r="AT1116" s="21" t="e">
        <f t="shared" si="527"/>
        <v>#N/A</v>
      </c>
    </row>
    <row r="1117" spans="1:46" ht="61.5" x14ac:dyDescent="0.85">
      <c r="A1117" s="21">
        <v>1</v>
      </c>
      <c r="B1117" s="70">
        <f>SUBTOTAL(103,$A$896:A1117)</f>
        <v>182</v>
      </c>
      <c r="C1117" s="25" t="s">
        <v>73</v>
      </c>
      <c r="D1117" s="32">
        <f t="shared" si="553"/>
        <v>4908492</v>
      </c>
      <c r="E1117" s="32">
        <v>0</v>
      </c>
      <c r="F1117" s="32">
        <v>0</v>
      </c>
      <c r="G1117" s="32">
        <v>0</v>
      </c>
      <c r="H1117" s="32">
        <v>0</v>
      </c>
      <c r="I1117" s="32">
        <v>0</v>
      </c>
      <c r="J1117" s="32">
        <v>0</v>
      </c>
      <c r="K1117" s="34">
        <v>0</v>
      </c>
      <c r="L1117" s="32">
        <v>0</v>
      </c>
      <c r="M1117" s="32">
        <v>940</v>
      </c>
      <c r="N1117" s="32">
        <v>4688169.46</v>
      </c>
      <c r="O1117" s="32">
        <v>0</v>
      </c>
      <c r="P1117" s="32">
        <v>0</v>
      </c>
      <c r="Q1117" s="32">
        <v>0</v>
      </c>
      <c r="R1117" s="32">
        <v>0</v>
      </c>
      <c r="S1117" s="32">
        <v>0</v>
      </c>
      <c r="T1117" s="32">
        <v>0</v>
      </c>
      <c r="U1117" s="32">
        <v>0</v>
      </c>
      <c r="V1117" s="32">
        <v>0</v>
      </c>
      <c r="W1117" s="32">
        <v>0</v>
      </c>
      <c r="X1117" s="32">
        <v>0</v>
      </c>
      <c r="Y1117" s="32">
        <v>0</v>
      </c>
      <c r="Z1117" s="32">
        <v>0</v>
      </c>
      <c r="AA1117" s="32">
        <v>0</v>
      </c>
      <c r="AB1117" s="32">
        <v>0</v>
      </c>
      <c r="AC1117" s="32">
        <f t="shared" si="554"/>
        <v>70322.539999999994</v>
      </c>
      <c r="AD1117" s="32">
        <v>150000</v>
      </c>
      <c r="AE1117" s="32">
        <v>0</v>
      </c>
      <c r="AF1117" s="35">
        <v>2022</v>
      </c>
      <c r="AG1117" s="35">
        <v>2022</v>
      </c>
      <c r="AH1117" s="36">
        <v>2022</v>
      </c>
      <c r="AT1117" s="21" t="e">
        <f t="shared" si="527"/>
        <v>#N/A</v>
      </c>
    </row>
    <row r="1118" spans="1:46" ht="61.5" x14ac:dyDescent="0.85">
      <c r="A1118" s="21">
        <v>1</v>
      </c>
      <c r="B1118" s="70">
        <f>SUBTOTAL(103,$A$896:A1118)</f>
        <v>183</v>
      </c>
      <c r="C1118" s="25" t="s">
        <v>74</v>
      </c>
      <c r="D1118" s="32">
        <f t="shared" si="553"/>
        <v>3372238.44</v>
      </c>
      <c r="E1118" s="32">
        <v>0</v>
      </c>
      <c r="F1118" s="32">
        <v>0</v>
      </c>
      <c r="G1118" s="32">
        <v>0</v>
      </c>
      <c r="H1118" s="32">
        <v>0</v>
      </c>
      <c r="I1118" s="32">
        <v>0</v>
      </c>
      <c r="J1118" s="32">
        <v>0</v>
      </c>
      <c r="K1118" s="34">
        <v>0</v>
      </c>
      <c r="L1118" s="32">
        <v>0</v>
      </c>
      <c r="M1118" s="32">
        <v>645.79999999999995</v>
      </c>
      <c r="N1118" s="32">
        <v>3174619.15</v>
      </c>
      <c r="O1118" s="32">
        <v>0</v>
      </c>
      <c r="P1118" s="32">
        <v>0</v>
      </c>
      <c r="Q1118" s="32">
        <v>0</v>
      </c>
      <c r="R1118" s="32">
        <v>0</v>
      </c>
      <c r="S1118" s="32">
        <v>0</v>
      </c>
      <c r="T1118" s="32">
        <v>0</v>
      </c>
      <c r="U1118" s="32">
        <v>0</v>
      </c>
      <c r="V1118" s="32">
        <v>0</v>
      </c>
      <c r="W1118" s="32">
        <v>0</v>
      </c>
      <c r="X1118" s="32">
        <v>0</v>
      </c>
      <c r="Y1118" s="32">
        <v>0</v>
      </c>
      <c r="Z1118" s="32">
        <v>0</v>
      </c>
      <c r="AA1118" s="32">
        <v>0</v>
      </c>
      <c r="AB1118" s="32">
        <v>0</v>
      </c>
      <c r="AC1118" s="32">
        <f t="shared" si="554"/>
        <v>47619.29</v>
      </c>
      <c r="AD1118" s="32">
        <v>150000</v>
      </c>
      <c r="AE1118" s="32">
        <v>0</v>
      </c>
      <c r="AF1118" s="35">
        <v>2022</v>
      </c>
      <c r="AG1118" s="35">
        <v>2022</v>
      </c>
      <c r="AH1118" s="36">
        <v>2022</v>
      </c>
      <c r="AT1118" s="21" t="e">
        <f t="shared" si="527"/>
        <v>#N/A</v>
      </c>
    </row>
    <row r="1119" spans="1:46" ht="61.5" x14ac:dyDescent="0.85">
      <c r="B1119" s="25" t="s">
        <v>894</v>
      </c>
      <c r="C1119" s="25"/>
      <c r="D1119" s="32">
        <f>D1120</f>
        <v>5871927.6600000001</v>
      </c>
      <c r="E1119" s="32">
        <f t="shared" ref="E1119:AE1119" si="555">E1120</f>
        <v>0</v>
      </c>
      <c r="F1119" s="32">
        <f t="shared" si="555"/>
        <v>0</v>
      </c>
      <c r="G1119" s="32">
        <f t="shared" si="555"/>
        <v>0</v>
      </c>
      <c r="H1119" s="32">
        <f t="shared" si="555"/>
        <v>0</v>
      </c>
      <c r="I1119" s="32">
        <f t="shared" si="555"/>
        <v>0</v>
      </c>
      <c r="J1119" s="32">
        <f t="shared" si="555"/>
        <v>0</v>
      </c>
      <c r="K1119" s="34">
        <f t="shared" si="555"/>
        <v>0</v>
      </c>
      <c r="L1119" s="32">
        <f t="shared" si="555"/>
        <v>0</v>
      </c>
      <c r="M1119" s="32">
        <f t="shared" si="555"/>
        <v>1361</v>
      </c>
      <c r="N1119" s="32">
        <f t="shared" si="555"/>
        <v>5607810.5</v>
      </c>
      <c r="O1119" s="32">
        <f t="shared" si="555"/>
        <v>0</v>
      </c>
      <c r="P1119" s="32">
        <f t="shared" si="555"/>
        <v>0</v>
      </c>
      <c r="Q1119" s="32">
        <f t="shared" si="555"/>
        <v>0</v>
      </c>
      <c r="R1119" s="32">
        <f t="shared" si="555"/>
        <v>0</v>
      </c>
      <c r="S1119" s="32">
        <f t="shared" si="555"/>
        <v>0</v>
      </c>
      <c r="T1119" s="32">
        <f t="shared" si="555"/>
        <v>0</v>
      </c>
      <c r="U1119" s="32">
        <f t="shared" si="555"/>
        <v>0</v>
      </c>
      <c r="V1119" s="32">
        <f t="shared" si="555"/>
        <v>0</v>
      </c>
      <c r="W1119" s="32">
        <f t="shared" si="555"/>
        <v>0</v>
      </c>
      <c r="X1119" s="32">
        <f t="shared" si="555"/>
        <v>0</v>
      </c>
      <c r="Y1119" s="32">
        <f t="shared" si="555"/>
        <v>0</v>
      </c>
      <c r="Z1119" s="32">
        <f t="shared" si="555"/>
        <v>0</v>
      </c>
      <c r="AA1119" s="32">
        <f t="shared" si="555"/>
        <v>0</v>
      </c>
      <c r="AB1119" s="32">
        <f t="shared" si="555"/>
        <v>0</v>
      </c>
      <c r="AC1119" s="32">
        <f t="shared" si="555"/>
        <v>84117.16</v>
      </c>
      <c r="AD1119" s="32">
        <f t="shared" si="555"/>
        <v>180000</v>
      </c>
      <c r="AE1119" s="32">
        <f t="shared" si="555"/>
        <v>0</v>
      </c>
      <c r="AF1119" s="113" t="s">
        <v>801</v>
      </c>
      <c r="AG1119" s="113" t="s">
        <v>801</v>
      </c>
      <c r="AH1119" s="114" t="s">
        <v>801</v>
      </c>
      <c r="AT1119" s="21" t="e">
        <f t="shared" si="527"/>
        <v>#N/A</v>
      </c>
    </row>
    <row r="1120" spans="1:46" ht="61.5" x14ac:dyDescent="0.85">
      <c r="A1120" s="21">
        <v>1</v>
      </c>
      <c r="B1120" s="70">
        <f>SUBTOTAL(103,$A$896:A1120)</f>
        <v>184</v>
      </c>
      <c r="C1120" s="25" t="s">
        <v>53</v>
      </c>
      <c r="D1120" s="32">
        <f t="shared" ref="D1120" si="556">E1120+F1120+G1120+H1120+I1120+J1120+L1120+N1120+P1120+R1120+T1120+U1120+V1120+W1120+X1120+Y1120+Z1120+AA1120+AB1120+AC1120+AD1120+AE1120</f>
        <v>5871927.6600000001</v>
      </c>
      <c r="E1120" s="32">
        <v>0</v>
      </c>
      <c r="F1120" s="32">
        <v>0</v>
      </c>
      <c r="G1120" s="32">
        <v>0</v>
      </c>
      <c r="H1120" s="32">
        <v>0</v>
      </c>
      <c r="I1120" s="32">
        <v>0</v>
      </c>
      <c r="J1120" s="32">
        <v>0</v>
      </c>
      <c r="K1120" s="34">
        <v>0</v>
      </c>
      <c r="L1120" s="32">
        <v>0</v>
      </c>
      <c r="M1120" s="32">
        <v>1361</v>
      </c>
      <c r="N1120" s="32">
        <v>5607810.5</v>
      </c>
      <c r="O1120" s="32">
        <v>0</v>
      </c>
      <c r="P1120" s="32">
        <v>0</v>
      </c>
      <c r="Q1120" s="32">
        <v>0</v>
      </c>
      <c r="R1120" s="32">
        <v>0</v>
      </c>
      <c r="S1120" s="32">
        <v>0</v>
      </c>
      <c r="T1120" s="32">
        <v>0</v>
      </c>
      <c r="U1120" s="32">
        <v>0</v>
      </c>
      <c r="V1120" s="32">
        <v>0</v>
      </c>
      <c r="W1120" s="32">
        <v>0</v>
      </c>
      <c r="X1120" s="32">
        <v>0</v>
      </c>
      <c r="Y1120" s="32">
        <v>0</v>
      </c>
      <c r="Z1120" s="32">
        <v>0</v>
      </c>
      <c r="AA1120" s="32">
        <v>0</v>
      </c>
      <c r="AB1120" s="32">
        <v>0</v>
      </c>
      <c r="AC1120" s="32">
        <f>ROUND(N1120*1.5%,2)</f>
        <v>84117.16</v>
      </c>
      <c r="AD1120" s="32">
        <v>180000</v>
      </c>
      <c r="AE1120" s="32">
        <v>0</v>
      </c>
      <c r="AF1120" s="35">
        <v>2022</v>
      </c>
      <c r="AG1120" s="35">
        <v>2022</v>
      </c>
      <c r="AH1120" s="36">
        <v>2022</v>
      </c>
      <c r="AT1120" s="21" t="e">
        <f t="shared" ref="AT1120:AT1138" si="557">VLOOKUP(C1120,AW:AX,2,FALSE)</f>
        <v>#N/A</v>
      </c>
    </row>
    <row r="1121" spans="1:46" ht="61.5" x14ac:dyDescent="0.85">
      <c r="B1121" s="25" t="s">
        <v>899</v>
      </c>
      <c r="C1121" s="110"/>
      <c r="D1121" s="32">
        <f>D1122</f>
        <v>4804056</v>
      </c>
      <c r="E1121" s="32">
        <f t="shared" ref="E1121:AE1121" si="558">E1122</f>
        <v>0</v>
      </c>
      <c r="F1121" s="32">
        <f t="shared" si="558"/>
        <v>0</v>
      </c>
      <c r="G1121" s="32">
        <f t="shared" si="558"/>
        <v>0</v>
      </c>
      <c r="H1121" s="32">
        <f t="shared" si="558"/>
        <v>0</v>
      </c>
      <c r="I1121" s="32">
        <f t="shared" si="558"/>
        <v>0</v>
      </c>
      <c r="J1121" s="32">
        <f t="shared" si="558"/>
        <v>0</v>
      </c>
      <c r="K1121" s="34">
        <f t="shared" si="558"/>
        <v>0</v>
      </c>
      <c r="L1121" s="32">
        <f t="shared" si="558"/>
        <v>0</v>
      </c>
      <c r="M1121" s="32">
        <f t="shared" si="558"/>
        <v>925</v>
      </c>
      <c r="N1121" s="32">
        <f t="shared" si="558"/>
        <v>4585276.8499999996</v>
      </c>
      <c r="O1121" s="32">
        <f t="shared" si="558"/>
        <v>0</v>
      </c>
      <c r="P1121" s="32">
        <f t="shared" si="558"/>
        <v>0</v>
      </c>
      <c r="Q1121" s="32">
        <f t="shared" si="558"/>
        <v>0</v>
      </c>
      <c r="R1121" s="32">
        <f t="shared" si="558"/>
        <v>0</v>
      </c>
      <c r="S1121" s="32">
        <f t="shared" si="558"/>
        <v>0</v>
      </c>
      <c r="T1121" s="32">
        <f t="shared" si="558"/>
        <v>0</v>
      </c>
      <c r="U1121" s="32">
        <f t="shared" si="558"/>
        <v>0</v>
      </c>
      <c r="V1121" s="32">
        <f t="shared" si="558"/>
        <v>0</v>
      </c>
      <c r="W1121" s="32">
        <f t="shared" si="558"/>
        <v>0</v>
      </c>
      <c r="X1121" s="32">
        <f t="shared" si="558"/>
        <v>0</v>
      </c>
      <c r="Y1121" s="32">
        <f t="shared" si="558"/>
        <v>0</v>
      </c>
      <c r="Z1121" s="32">
        <f t="shared" si="558"/>
        <v>0</v>
      </c>
      <c r="AA1121" s="32">
        <f t="shared" si="558"/>
        <v>0</v>
      </c>
      <c r="AB1121" s="32">
        <f t="shared" si="558"/>
        <v>0</v>
      </c>
      <c r="AC1121" s="32">
        <f t="shared" si="558"/>
        <v>68779.149999999994</v>
      </c>
      <c r="AD1121" s="32">
        <f t="shared" si="558"/>
        <v>150000</v>
      </c>
      <c r="AE1121" s="32">
        <f t="shared" si="558"/>
        <v>0</v>
      </c>
      <c r="AF1121" s="113" t="s">
        <v>801</v>
      </c>
      <c r="AG1121" s="113" t="s">
        <v>801</v>
      </c>
      <c r="AH1121" s="114" t="s">
        <v>801</v>
      </c>
      <c r="AT1121" s="21" t="e">
        <f t="shared" si="557"/>
        <v>#N/A</v>
      </c>
    </row>
    <row r="1122" spans="1:46" ht="61.5" x14ac:dyDescent="0.85">
      <c r="A1122" s="21">
        <v>1</v>
      </c>
      <c r="B1122" s="70">
        <f>SUBTOTAL(103,$A$896:A1122)</f>
        <v>185</v>
      </c>
      <c r="C1122" s="25" t="s">
        <v>232</v>
      </c>
      <c r="D1122" s="32">
        <f t="shared" ref="D1122" si="559">E1122+F1122+G1122+H1122+I1122+J1122+L1122+N1122+P1122+R1122+T1122+U1122+V1122+W1122+X1122+Y1122+Z1122+AA1122+AB1122+AC1122+AD1122+AE1122</f>
        <v>4804056</v>
      </c>
      <c r="E1122" s="32">
        <v>0</v>
      </c>
      <c r="F1122" s="32">
        <v>0</v>
      </c>
      <c r="G1122" s="32">
        <v>0</v>
      </c>
      <c r="H1122" s="32">
        <v>0</v>
      </c>
      <c r="I1122" s="32">
        <v>0</v>
      </c>
      <c r="J1122" s="32">
        <v>0</v>
      </c>
      <c r="K1122" s="34">
        <v>0</v>
      </c>
      <c r="L1122" s="32">
        <v>0</v>
      </c>
      <c r="M1122" s="32">
        <v>925</v>
      </c>
      <c r="N1122" s="32">
        <v>4585276.8499999996</v>
      </c>
      <c r="O1122" s="32">
        <v>0</v>
      </c>
      <c r="P1122" s="32">
        <v>0</v>
      </c>
      <c r="Q1122" s="32">
        <v>0</v>
      </c>
      <c r="R1122" s="32">
        <v>0</v>
      </c>
      <c r="S1122" s="32">
        <v>0</v>
      </c>
      <c r="T1122" s="32">
        <v>0</v>
      </c>
      <c r="U1122" s="32">
        <v>0</v>
      </c>
      <c r="V1122" s="32">
        <v>0</v>
      </c>
      <c r="W1122" s="32">
        <v>0</v>
      </c>
      <c r="X1122" s="32">
        <v>0</v>
      </c>
      <c r="Y1122" s="32">
        <v>0</v>
      </c>
      <c r="Z1122" s="32">
        <v>0</v>
      </c>
      <c r="AA1122" s="32">
        <v>0</v>
      </c>
      <c r="AB1122" s="32">
        <v>0</v>
      </c>
      <c r="AC1122" s="32">
        <f>ROUND(N1122*1.5%,2)</f>
        <v>68779.149999999994</v>
      </c>
      <c r="AD1122" s="32">
        <v>150000</v>
      </c>
      <c r="AE1122" s="32">
        <v>0</v>
      </c>
      <c r="AF1122" s="35">
        <v>2022</v>
      </c>
      <c r="AG1122" s="35">
        <v>2022</v>
      </c>
      <c r="AH1122" s="36">
        <v>2022</v>
      </c>
      <c r="AT1122" s="21" t="e">
        <f t="shared" si="557"/>
        <v>#N/A</v>
      </c>
    </row>
    <row r="1123" spans="1:46" ht="61.5" x14ac:dyDescent="0.85">
      <c r="B1123" s="25" t="s">
        <v>935</v>
      </c>
      <c r="C1123" s="110"/>
      <c r="D1123" s="32">
        <f>D1124</f>
        <v>7284801.9000000004</v>
      </c>
      <c r="E1123" s="32">
        <f t="shared" ref="E1123:AE1123" si="560">E1124</f>
        <v>0</v>
      </c>
      <c r="F1123" s="32">
        <f t="shared" si="560"/>
        <v>0</v>
      </c>
      <c r="G1123" s="32">
        <f t="shared" si="560"/>
        <v>0</v>
      </c>
      <c r="H1123" s="32">
        <f t="shared" si="560"/>
        <v>0</v>
      </c>
      <c r="I1123" s="32">
        <f t="shared" si="560"/>
        <v>0</v>
      </c>
      <c r="J1123" s="32">
        <f t="shared" si="560"/>
        <v>0</v>
      </c>
      <c r="K1123" s="34">
        <f t="shared" si="560"/>
        <v>0</v>
      </c>
      <c r="L1123" s="32">
        <f t="shared" si="560"/>
        <v>0</v>
      </c>
      <c r="M1123" s="32">
        <f t="shared" si="560"/>
        <v>1501.50709241</v>
      </c>
      <c r="N1123" s="32">
        <f t="shared" si="560"/>
        <v>6999804.8300000001</v>
      </c>
      <c r="O1123" s="32">
        <f t="shared" si="560"/>
        <v>0</v>
      </c>
      <c r="P1123" s="32">
        <f t="shared" si="560"/>
        <v>0</v>
      </c>
      <c r="Q1123" s="32">
        <f t="shared" si="560"/>
        <v>0</v>
      </c>
      <c r="R1123" s="32">
        <f t="shared" si="560"/>
        <v>0</v>
      </c>
      <c r="S1123" s="32">
        <f t="shared" si="560"/>
        <v>0</v>
      </c>
      <c r="T1123" s="32">
        <f t="shared" si="560"/>
        <v>0</v>
      </c>
      <c r="U1123" s="32">
        <f t="shared" si="560"/>
        <v>0</v>
      </c>
      <c r="V1123" s="32">
        <f t="shared" si="560"/>
        <v>0</v>
      </c>
      <c r="W1123" s="32">
        <f t="shared" si="560"/>
        <v>0</v>
      </c>
      <c r="X1123" s="32">
        <f t="shared" si="560"/>
        <v>0</v>
      </c>
      <c r="Y1123" s="32">
        <f t="shared" si="560"/>
        <v>0</v>
      </c>
      <c r="Z1123" s="32">
        <f t="shared" si="560"/>
        <v>0</v>
      </c>
      <c r="AA1123" s="32">
        <f t="shared" si="560"/>
        <v>0</v>
      </c>
      <c r="AB1123" s="32">
        <f t="shared" si="560"/>
        <v>0</v>
      </c>
      <c r="AC1123" s="32">
        <f t="shared" si="560"/>
        <v>104997.07</v>
      </c>
      <c r="AD1123" s="32">
        <f t="shared" si="560"/>
        <v>180000</v>
      </c>
      <c r="AE1123" s="32">
        <f t="shared" si="560"/>
        <v>0</v>
      </c>
      <c r="AF1123" s="113" t="s">
        <v>801</v>
      </c>
      <c r="AG1123" s="113" t="s">
        <v>801</v>
      </c>
      <c r="AH1123" s="114" t="s">
        <v>801</v>
      </c>
      <c r="AT1123" s="21" t="e">
        <f t="shared" si="557"/>
        <v>#N/A</v>
      </c>
    </row>
    <row r="1124" spans="1:46" ht="61.5" x14ac:dyDescent="0.85">
      <c r="A1124" s="21">
        <v>1</v>
      </c>
      <c r="B1124" s="70">
        <f>SUBTOTAL(103,$A$896:A1124)</f>
        <v>186</v>
      </c>
      <c r="C1124" s="25" t="s">
        <v>163</v>
      </c>
      <c r="D1124" s="32">
        <f t="shared" ref="D1124" si="561">E1124+F1124+G1124+H1124+I1124+J1124+L1124+N1124+P1124+R1124+T1124+U1124+V1124+W1124+X1124+Y1124+Z1124+AA1124+AB1124+AC1124+AD1124+AE1124</f>
        <v>7284801.9000000004</v>
      </c>
      <c r="E1124" s="32">
        <v>0</v>
      </c>
      <c r="F1124" s="32">
        <v>0</v>
      </c>
      <c r="G1124" s="32">
        <v>0</v>
      </c>
      <c r="H1124" s="32">
        <v>0</v>
      </c>
      <c r="I1124" s="32">
        <v>0</v>
      </c>
      <c r="J1124" s="32">
        <v>0</v>
      </c>
      <c r="K1124" s="34">
        <v>0</v>
      </c>
      <c r="L1124" s="32">
        <v>0</v>
      </c>
      <c r="M1124" s="32">
        <v>1501.50709241</v>
      </c>
      <c r="N1124" s="32">
        <v>6999804.8300000001</v>
      </c>
      <c r="O1124" s="32">
        <v>0</v>
      </c>
      <c r="P1124" s="32">
        <v>0</v>
      </c>
      <c r="Q1124" s="32">
        <v>0</v>
      </c>
      <c r="R1124" s="32">
        <v>0</v>
      </c>
      <c r="S1124" s="32">
        <v>0</v>
      </c>
      <c r="T1124" s="32">
        <v>0</v>
      </c>
      <c r="U1124" s="32">
        <v>0</v>
      </c>
      <c r="V1124" s="32">
        <v>0</v>
      </c>
      <c r="W1124" s="32">
        <v>0</v>
      </c>
      <c r="X1124" s="32">
        <v>0</v>
      </c>
      <c r="Y1124" s="32">
        <v>0</v>
      </c>
      <c r="Z1124" s="32">
        <v>0</v>
      </c>
      <c r="AA1124" s="32">
        <v>0</v>
      </c>
      <c r="AB1124" s="32">
        <v>0</v>
      </c>
      <c r="AC1124" s="32">
        <f>ROUND(N1124*1.5%,2)</f>
        <v>104997.07</v>
      </c>
      <c r="AD1124" s="32">
        <v>180000</v>
      </c>
      <c r="AE1124" s="32">
        <v>0</v>
      </c>
      <c r="AF1124" s="35">
        <v>2022</v>
      </c>
      <c r="AG1124" s="35">
        <v>2022</v>
      </c>
      <c r="AH1124" s="36">
        <v>2022</v>
      </c>
      <c r="AT1124" s="21" t="e">
        <f t="shared" si="557"/>
        <v>#N/A</v>
      </c>
    </row>
    <row r="1125" spans="1:46" ht="61.5" x14ac:dyDescent="0.85">
      <c r="B1125" s="25" t="s">
        <v>930</v>
      </c>
      <c r="C1125" s="25"/>
      <c r="D1125" s="32">
        <f>D1126+D1127</f>
        <v>4011881.02</v>
      </c>
      <c r="E1125" s="32">
        <f t="shared" ref="E1125:AE1125" si="562">E1126+E1127</f>
        <v>0</v>
      </c>
      <c r="F1125" s="32">
        <f t="shared" si="562"/>
        <v>0</v>
      </c>
      <c r="G1125" s="32">
        <f t="shared" si="562"/>
        <v>0</v>
      </c>
      <c r="H1125" s="32">
        <f t="shared" si="562"/>
        <v>0</v>
      </c>
      <c r="I1125" s="32">
        <f t="shared" si="562"/>
        <v>0</v>
      </c>
      <c r="J1125" s="32">
        <f t="shared" si="562"/>
        <v>0</v>
      </c>
      <c r="K1125" s="34">
        <f t="shared" si="562"/>
        <v>0</v>
      </c>
      <c r="L1125" s="32">
        <f t="shared" si="562"/>
        <v>0</v>
      </c>
      <c r="M1125" s="32">
        <f t="shared" si="562"/>
        <v>771.1</v>
      </c>
      <c r="N1125" s="32">
        <f t="shared" si="562"/>
        <v>3479820.61</v>
      </c>
      <c r="O1125" s="32">
        <f t="shared" si="562"/>
        <v>0</v>
      </c>
      <c r="P1125" s="32">
        <f t="shared" si="562"/>
        <v>0</v>
      </c>
      <c r="Q1125" s="32">
        <f t="shared" si="562"/>
        <v>98</v>
      </c>
      <c r="R1125" s="32">
        <f t="shared" si="562"/>
        <v>206761.67</v>
      </c>
      <c r="S1125" s="32">
        <f t="shared" si="562"/>
        <v>0</v>
      </c>
      <c r="T1125" s="32">
        <f t="shared" si="562"/>
        <v>0</v>
      </c>
      <c r="U1125" s="32">
        <f t="shared" si="562"/>
        <v>0</v>
      </c>
      <c r="V1125" s="32">
        <f t="shared" si="562"/>
        <v>0</v>
      </c>
      <c r="W1125" s="32">
        <f t="shared" si="562"/>
        <v>0</v>
      </c>
      <c r="X1125" s="32">
        <f t="shared" si="562"/>
        <v>0</v>
      </c>
      <c r="Y1125" s="32">
        <f t="shared" si="562"/>
        <v>0</v>
      </c>
      <c r="Z1125" s="32">
        <f t="shared" si="562"/>
        <v>0</v>
      </c>
      <c r="AA1125" s="32">
        <f t="shared" si="562"/>
        <v>0</v>
      </c>
      <c r="AB1125" s="32">
        <f t="shared" si="562"/>
        <v>0</v>
      </c>
      <c r="AC1125" s="32">
        <f t="shared" si="562"/>
        <v>55298.74</v>
      </c>
      <c r="AD1125" s="32">
        <f t="shared" si="562"/>
        <v>270000</v>
      </c>
      <c r="AE1125" s="32">
        <f t="shared" si="562"/>
        <v>0</v>
      </c>
      <c r="AF1125" s="113" t="s">
        <v>801</v>
      </c>
      <c r="AG1125" s="113" t="s">
        <v>801</v>
      </c>
      <c r="AH1125" s="114" t="s">
        <v>801</v>
      </c>
      <c r="AT1125" s="21" t="e">
        <f t="shared" si="557"/>
        <v>#N/A</v>
      </c>
    </row>
    <row r="1126" spans="1:46" ht="61.5" x14ac:dyDescent="0.85">
      <c r="A1126" s="21">
        <v>1</v>
      </c>
      <c r="B1126" s="70">
        <f>SUBTOTAL(103,$A$896:A1126)</f>
        <v>187</v>
      </c>
      <c r="C1126" s="25" t="s">
        <v>169</v>
      </c>
      <c r="D1126" s="32">
        <f t="shared" ref="D1126:D1127" si="563">E1126+F1126+G1126+H1126+I1126+J1126+L1126+N1126+P1126+R1126+T1126+U1126+V1126+W1126+X1126+Y1126+Z1126+AA1126+AB1126+AC1126+AD1126+AE1126</f>
        <v>329863.09999999998</v>
      </c>
      <c r="E1126" s="32">
        <v>0</v>
      </c>
      <c r="F1126" s="32">
        <v>0</v>
      </c>
      <c r="G1126" s="32">
        <v>0</v>
      </c>
      <c r="H1126" s="32">
        <v>0</v>
      </c>
      <c r="I1126" s="32">
        <v>0</v>
      </c>
      <c r="J1126" s="32">
        <v>0</v>
      </c>
      <c r="K1126" s="34">
        <v>0</v>
      </c>
      <c r="L1126" s="32">
        <v>0</v>
      </c>
      <c r="M1126" s="32">
        <v>0</v>
      </c>
      <c r="N1126" s="32">
        <v>0</v>
      </c>
      <c r="O1126" s="32">
        <v>0</v>
      </c>
      <c r="P1126" s="32">
        <v>0</v>
      </c>
      <c r="Q1126" s="32">
        <v>98</v>
      </c>
      <c r="R1126" s="32">
        <v>206761.67</v>
      </c>
      <c r="S1126" s="32">
        <v>0</v>
      </c>
      <c r="T1126" s="32">
        <v>0</v>
      </c>
      <c r="U1126" s="32">
        <v>0</v>
      </c>
      <c r="V1126" s="32">
        <v>0</v>
      </c>
      <c r="W1126" s="32">
        <v>0</v>
      </c>
      <c r="X1126" s="32">
        <v>0</v>
      </c>
      <c r="Y1126" s="32">
        <v>0</v>
      </c>
      <c r="Z1126" s="32">
        <v>0</v>
      </c>
      <c r="AA1126" s="32">
        <v>0</v>
      </c>
      <c r="AB1126" s="32">
        <v>0</v>
      </c>
      <c r="AC1126" s="32">
        <f t="shared" ref="AC1126" si="564">ROUND(R1126*1.5%,2)</f>
        <v>3101.43</v>
      </c>
      <c r="AD1126" s="32">
        <v>120000</v>
      </c>
      <c r="AE1126" s="32">
        <v>0</v>
      </c>
      <c r="AF1126" s="35">
        <v>2022</v>
      </c>
      <c r="AG1126" s="35">
        <v>2022</v>
      </c>
      <c r="AH1126" s="36">
        <v>2022</v>
      </c>
      <c r="AT1126" s="21" t="e">
        <f t="shared" si="557"/>
        <v>#N/A</v>
      </c>
    </row>
    <row r="1127" spans="1:46" ht="61.5" x14ac:dyDescent="0.85">
      <c r="A1127" s="21">
        <v>1</v>
      </c>
      <c r="B1127" s="70">
        <f>SUBTOTAL(103,$A$896:A1127)</f>
        <v>188</v>
      </c>
      <c r="C1127" s="25" t="s">
        <v>170</v>
      </c>
      <c r="D1127" s="32">
        <f t="shared" si="563"/>
        <v>3682017.92</v>
      </c>
      <c r="E1127" s="32">
        <v>0</v>
      </c>
      <c r="F1127" s="32">
        <v>0</v>
      </c>
      <c r="G1127" s="32">
        <v>0</v>
      </c>
      <c r="H1127" s="32">
        <v>0</v>
      </c>
      <c r="I1127" s="32">
        <v>0</v>
      </c>
      <c r="J1127" s="32">
        <v>0</v>
      </c>
      <c r="K1127" s="34">
        <v>0</v>
      </c>
      <c r="L1127" s="32">
        <v>0</v>
      </c>
      <c r="M1127" s="32">
        <v>771.1</v>
      </c>
      <c r="N1127" s="32">
        <v>3479820.61</v>
      </c>
      <c r="O1127" s="32">
        <v>0</v>
      </c>
      <c r="P1127" s="32">
        <v>0</v>
      </c>
      <c r="Q1127" s="32">
        <v>0</v>
      </c>
      <c r="R1127" s="32">
        <v>0</v>
      </c>
      <c r="S1127" s="32">
        <v>0</v>
      </c>
      <c r="T1127" s="32">
        <v>0</v>
      </c>
      <c r="U1127" s="32">
        <v>0</v>
      </c>
      <c r="V1127" s="32">
        <v>0</v>
      </c>
      <c r="W1127" s="32">
        <v>0</v>
      </c>
      <c r="X1127" s="32">
        <v>0</v>
      </c>
      <c r="Y1127" s="32">
        <v>0</v>
      </c>
      <c r="Z1127" s="32">
        <v>0</v>
      </c>
      <c r="AA1127" s="32">
        <v>0</v>
      </c>
      <c r="AB1127" s="32">
        <v>0</v>
      </c>
      <c r="AC1127" s="32">
        <f>ROUND(N1127*1.5%,2)</f>
        <v>52197.31</v>
      </c>
      <c r="AD1127" s="32">
        <v>150000</v>
      </c>
      <c r="AE1127" s="32">
        <v>0</v>
      </c>
      <c r="AF1127" s="35">
        <v>2022</v>
      </c>
      <c r="AG1127" s="35">
        <v>2022</v>
      </c>
      <c r="AH1127" s="36">
        <v>2022</v>
      </c>
      <c r="AT1127" s="21" t="e">
        <f t="shared" si="557"/>
        <v>#N/A</v>
      </c>
    </row>
    <row r="1128" spans="1:46" ht="61.5" x14ac:dyDescent="0.85">
      <c r="B1128" s="25" t="s">
        <v>903</v>
      </c>
      <c r="C1128" s="25"/>
      <c r="D1128" s="32">
        <f>D1129+D1130</f>
        <v>6026117.5699999994</v>
      </c>
      <c r="E1128" s="32">
        <f t="shared" ref="E1128:AE1128" si="565">E1129+E1130</f>
        <v>0</v>
      </c>
      <c r="F1128" s="32">
        <f t="shared" si="565"/>
        <v>0</v>
      </c>
      <c r="G1128" s="32">
        <f t="shared" si="565"/>
        <v>0</v>
      </c>
      <c r="H1128" s="32">
        <f t="shared" si="565"/>
        <v>0</v>
      </c>
      <c r="I1128" s="32">
        <f t="shared" si="565"/>
        <v>0</v>
      </c>
      <c r="J1128" s="32">
        <f t="shared" si="565"/>
        <v>0</v>
      </c>
      <c r="K1128" s="34">
        <f t="shared" si="565"/>
        <v>0</v>
      </c>
      <c r="L1128" s="32">
        <f t="shared" si="565"/>
        <v>0</v>
      </c>
      <c r="M1128" s="32">
        <f t="shared" si="565"/>
        <v>1191.9585999999999</v>
      </c>
      <c r="N1128" s="32">
        <f t="shared" si="565"/>
        <v>5671051.7999999998</v>
      </c>
      <c r="O1128" s="32">
        <f t="shared" si="565"/>
        <v>0</v>
      </c>
      <c r="P1128" s="32">
        <f t="shared" si="565"/>
        <v>0</v>
      </c>
      <c r="Q1128" s="32">
        <f t="shared" si="565"/>
        <v>0</v>
      </c>
      <c r="R1128" s="32">
        <f t="shared" si="565"/>
        <v>0</v>
      </c>
      <c r="S1128" s="32">
        <f t="shared" si="565"/>
        <v>0</v>
      </c>
      <c r="T1128" s="32">
        <f t="shared" si="565"/>
        <v>0</v>
      </c>
      <c r="U1128" s="32">
        <f t="shared" si="565"/>
        <v>0</v>
      </c>
      <c r="V1128" s="32">
        <f t="shared" si="565"/>
        <v>0</v>
      </c>
      <c r="W1128" s="32">
        <f t="shared" si="565"/>
        <v>0</v>
      </c>
      <c r="X1128" s="32">
        <f t="shared" si="565"/>
        <v>0</v>
      </c>
      <c r="Y1128" s="32">
        <f t="shared" si="565"/>
        <v>0</v>
      </c>
      <c r="Z1128" s="32">
        <f t="shared" si="565"/>
        <v>0</v>
      </c>
      <c r="AA1128" s="32">
        <f t="shared" si="565"/>
        <v>0</v>
      </c>
      <c r="AB1128" s="32">
        <f t="shared" si="565"/>
        <v>0</v>
      </c>
      <c r="AC1128" s="32">
        <f t="shared" si="565"/>
        <v>85065.77</v>
      </c>
      <c r="AD1128" s="32">
        <f t="shared" si="565"/>
        <v>270000</v>
      </c>
      <c r="AE1128" s="32">
        <f t="shared" si="565"/>
        <v>0</v>
      </c>
      <c r="AF1128" s="113" t="s">
        <v>801</v>
      </c>
      <c r="AG1128" s="113" t="s">
        <v>801</v>
      </c>
      <c r="AH1128" s="114" t="s">
        <v>801</v>
      </c>
      <c r="AT1128" s="21" t="e">
        <f t="shared" si="557"/>
        <v>#N/A</v>
      </c>
    </row>
    <row r="1129" spans="1:46" ht="61.5" x14ac:dyDescent="0.85">
      <c r="A1129" s="21">
        <v>1</v>
      </c>
      <c r="B1129" s="70">
        <f>SUBTOTAL(103,$A$896:A1129)</f>
        <v>189</v>
      </c>
      <c r="C1129" s="25" t="s">
        <v>168</v>
      </c>
      <c r="D1129" s="32">
        <f t="shared" ref="D1129:D1130" si="566">E1129+F1129+G1129+H1129+I1129+J1129+L1129+N1129+P1129+R1129+T1129+U1129+V1129+W1129+X1129+Y1129+Z1129+AA1129+AB1129+AC1129+AD1129+AE1129</f>
        <v>4388776.2699999996</v>
      </c>
      <c r="E1129" s="32">
        <v>0</v>
      </c>
      <c r="F1129" s="32">
        <v>0</v>
      </c>
      <c r="G1129" s="32">
        <v>0</v>
      </c>
      <c r="H1129" s="32">
        <v>0</v>
      </c>
      <c r="I1129" s="32">
        <v>0</v>
      </c>
      <c r="J1129" s="32">
        <v>0</v>
      </c>
      <c r="K1129" s="34">
        <v>0</v>
      </c>
      <c r="L1129" s="32">
        <v>0</v>
      </c>
      <c r="M1129" s="32">
        <v>878.4</v>
      </c>
      <c r="N1129" s="32">
        <v>4176134.26</v>
      </c>
      <c r="O1129" s="32">
        <v>0</v>
      </c>
      <c r="P1129" s="32">
        <v>0</v>
      </c>
      <c r="Q1129" s="32">
        <v>0</v>
      </c>
      <c r="R1129" s="32">
        <v>0</v>
      </c>
      <c r="S1129" s="32">
        <v>0</v>
      </c>
      <c r="T1129" s="32">
        <v>0</v>
      </c>
      <c r="U1129" s="32">
        <v>0</v>
      </c>
      <c r="V1129" s="32">
        <v>0</v>
      </c>
      <c r="W1129" s="32">
        <v>0</v>
      </c>
      <c r="X1129" s="32">
        <v>0</v>
      </c>
      <c r="Y1129" s="32">
        <v>0</v>
      </c>
      <c r="Z1129" s="32">
        <v>0</v>
      </c>
      <c r="AA1129" s="32">
        <v>0</v>
      </c>
      <c r="AB1129" s="32">
        <v>0</v>
      </c>
      <c r="AC1129" s="32">
        <f t="shared" ref="AC1129:AC1130" si="567">ROUND(N1129*1.5%,2)</f>
        <v>62642.01</v>
      </c>
      <c r="AD1129" s="32">
        <v>150000</v>
      </c>
      <c r="AE1129" s="32">
        <v>0</v>
      </c>
      <c r="AF1129" s="35">
        <v>2022</v>
      </c>
      <c r="AG1129" s="35">
        <v>2022</v>
      </c>
      <c r="AH1129" s="36">
        <v>2022</v>
      </c>
      <c r="AT1129" s="21" t="e">
        <f t="shared" si="557"/>
        <v>#N/A</v>
      </c>
    </row>
    <row r="1130" spans="1:46" ht="61.5" x14ac:dyDescent="0.85">
      <c r="A1130" s="21">
        <v>1</v>
      </c>
      <c r="B1130" s="70">
        <f>SUBTOTAL(103,$A$896:A1130)</f>
        <v>190</v>
      </c>
      <c r="C1130" s="25" t="s">
        <v>167</v>
      </c>
      <c r="D1130" s="32">
        <f t="shared" si="566"/>
        <v>1637341.3</v>
      </c>
      <c r="E1130" s="32">
        <v>0</v>
      </c>
      <c r="F1130" s="32">
        <v>0</v>
      </c>
      <c r="G1130" s="32">
        <v>0</v>
      </c>
      <c r="H1130" s="32">
        <v>0</v>
      </c>
      <c r="I1130" s="32">
        <v>0</v>
      </c>
      <c r="J1130" s="32">
        <v>0</v>
      </c>
      <c r="K1130" s="34">
        <v>0</v>
      </c>
      <c r="L1130" s="32">
        <v>0</v>
      </c>
      <c r="M1130" s="32">
        <v>313.55860000000001</v>
      </c>
      <c r="N1130" s="32">
        <v>1494917.54</v>
      </c>
      <c r="O1130" s="32">
        <v>0</v>
      </c>
      <c r="P1130" s="32">
        <v>0</v>
      </c>
      <c r="Q1130" s="32">
        <v>0</v>
      </c>
      <c r="R1130" s="32">
        <v>0</v>
      </c>
      <c r="S1130" s="32">
        <v>0</v>
      </c>
      <c r="T1130" s="32">
        <v>0</v>
      </c>
      <c r="U1130" s="32">
        <v>0</v>
      </c>
      <c r="V1130" s="32">
        <v>0</v>
      </c>
      <c r="W1130" s="32">
        <v>0</v>
      </c>
      <c r="X1130" s="32">
        <v>0</v>
      </c>
      <c r="Y1130" s="32">
        <v>0</v>
      </c>
      <c r="Z1130" s="32">
        <v>0</v>
      </c>
      <c r="AA1130" s="32">
        <v>0</v>
      </c>
      <c r="AB1130" s="32">
        <v>0</v>
      </c>
      <c r="AC1130" s="32">
        <f t="shared" si="567"/>
        <v>22423.759999999998</v>
      </c>
      <c r="AD1130" s="32">
        <v>120000</v>
      </c>
      <c r="AE1130" s="32">
        <v>0</v>
      </c>
      <c r="AF1130" s="35">
        <v>2022</v>
      </c>
      <c r="AG1130" s="35">
        <v>2022</v>
      </c>
      <c r="AH1130" s="36">
        <v>2022</v>
      </c>
      <c r="AT1130" s="21" t="e">
        <f t="shared" si="557"/>
        <v>#N/A</v>
      </c>
    </row>
    <row r="1131" spans="1:46" ht="61.5" x14ac:dyDescent="0.85">
      <c r="B1131" s="25" t="s">
        <v>934</v>
      </c>
      <c r="C1131" s="25"/>
      <c r="D1131" s="32">
        <f>SUM(D1132:D1134)</f>
        <v>12459674.15</v>
      </c>
      <c r="E1131" s="32">
        <f t="shared" ref="E1131:AE1131" si="568">SUM(E1132:E1134)</f>
        <v>0</v>
      </c>
      <c r="F1131" s="32">
        <f t="shared" si="568"/>
        <v>0</v>
      </c>
      <c r="G1131" s="32">
        <f t="shared" si="568"/>
        <v>0</v>
      </c>
      <c r="H1131" s="32">
        <f t="shared" si="568"/>
        <v>0</v>
      </c>
      <c r="I1131" s="32">
        <f t="shared" si="568"/>
        <v>0</v>
      </c>
      <c r="J1131" s="32">
        <f t="shared" si="568"/>
        <v>0</v>
      </c>
      <c r="K1131" s="34">
        <f t="shared" si="568"/>
        <v>0</v>
      </c>
      <c r="L1131" s="32">
        <f t="shared" si="568"/>
        <v>0</v>
      </c>
      <c r="M1131" s="32">
        <f t="shared" si="568"/>
        <v>2891.3100000000004</v>
      </c>
      <c r="N1131" s="32">
        <f t="shared" si="568"/>
        <v>11802634.630000001</v>
      </c>
      <c r="O1131" s="32">
        <f t="shared" si="568"/>
        <v>0</v>
      </c>
      <c r="P1131" s="32">
        <f t="shared" si="568"/>
        <v>0</v>
      </c>
      <c r="Q1131" s="32">
        <f t="shared" si="568"/>
        <v>0</v>
      </c>
      <c r="R1131" s="32">
        <f t="shared" si="568"/>
        <v>0</v>
      </c>
      <c r="S1131" s="32">
        <f t="shared" si="568"/>
        <v>0</v>
      </c>
      <c r="T1131" s="32">
        <f t="shared" si="568"/>
        <v>0</v>
      </c>
      <c r="U1131" s="32">
        <f t="shared" si="568"/>
        <v>0</v>
      </c>
      <c r="V1131" s="32">
        <f t="shared" si="568"/>
        <v>0</v>
      </c>
      <c r="W1131" s="32">
        <f t="shared" si="568"/>
        <v>0</v>
      </c>
      <c r="X1131" s="32">
        <f t="shared" si="568"/>
        <v>0</v>
      </c>
      <c r="Y1131" s="32">
        <f t="shared" si="568"/>
        <v>0</v>
      </c>
      <c r="Z1131" s="32">
        <f t="shared" si="568"/>
        <v>0</v>
      </c>
      <c r="AA1131" s="32">
        <f t="shared" si="568"/>
        <v>0</v>
      </c>
      <c r="AB1131" s="32">
        <f t="shared" si="568"/>
        <v>0</v>
      </c>
      <c r="AC1131" s="32">
        <f t="shared" si="568"/>
        <v>177039.52000000002</v>
      </c>
      <c r="AD1131" s="32">
        <f t="shared" si="568"/>
        <v>480000</v>
      </c>
      <c r="AE1131" s="32">
        <f t="shared" si="568"/>
        <v>0</v>
      </c>
      <c r="AF1131" s="113" t="s">
        <v>801</v>
      </c>
      <c r="AG1131" s="113" t="s">
        <v>801</v>
      </c>
      <c r="AH1131" s="114" t="s">
        <v>801</v>
      </c>
      <c r="AT1131" s="21" t="e">
        <f t="shared" si="557"/>
        <v>#N/A</v>
      </c>
    </row>
    <row r="1132" spans="1:46" ht="61.5" x14ac:dyDescent="0.85">
      <c r="A1132" s="21">
        <v>1</v>
      </c>
      <c r="B1132" s="70">
        <f>SUBTOTAL(103,$A$896:A1132)</f>
        <v>191</v>
      </c>
      <c r="C1132" s="25" t="s">
        <v>164</v>
      </c>
      <c r="D1132" s="32">
        <f t="shared" ref="D1132:D1134" si="569">E1132+F1132+G1132+H1132+I1132+J1132+L1132+N1132+P1132+R1132+T1132+U1132+V1132+W1132+X1132+Y1132+Z1132+AA1132+AB1132+AC1132+AD1132+AE1132</f>
        <v>5095413.53</v>
      </c>
      <c r="E1132" s="32">
        <v>0</v>
      </c>
      <c r="F1132" s="32">
        <v>0</v>
      </c>
      <c r="G1132" s="32">
        <v>0</v>
      </c>
      <c r="H1132" s="32">
        <v>0</v>
      </c>
      <c r="I1132" s="32">
        <v>0</v>
      </c>
      <c r="J1132" s="32">
        <v>0</v>
      </c>
      <c r="K1132" s="34">
        <v>0</v>
      </c>
      <c r="L1132" s="32">
        <v>0</v>
      </c>
      <c r="M1132" s="32">
        <v>1276.79</v>
      </c>
      <c r="N1132" s="32">
        <v>4842771.95</v>
      </c>
      <c r="O1132" s="32">
        <v>0</v>
      </c>
      <c r="P1132" s="32">
        <v>0</v>
      </c>
      <c r="Q1132" s="32">
        <v>0</v>
      </c>
      <c r="R1132" s="32">
        <v>0</v>
      </c>
      <c r="S1132" s="32">
        <v>0</v>
      </c>
      <c r="T1132" s="32">
        <v>0</v>
      </c>
      <c r="U1132" s="32">
        <v>0</v>
      </c>
      <c r="V1132" s="32">
        <v>0</v>
      </c>
      <c r="W1132" s="32">
        <v>0</v>
      </c>
      <c r="X1132" s="32">
        <v>0</v>
      </c>
      <c r="Y1132" s="32">
        <v>0</v>
      </c>
      <c r="Z1132" s="32">
        <v>0</v>
      </c>
      <c r="AA1132" s="32">
        <v>0</v>
      </c>
      <c r="AB1132" s="32">
        <v>0</v>
      </c>
      <c r="AC1132" s="32">
        <f t="shared" ref="AC1132:AC1134" si="570">ROUND(N1132*1.5%,2)</f>
        <v>72641.58</v>
      </c>
      <c r="AD1132" s="32">
        <v>180000</v>
      </c>
      <c r="AE1132" s="32">
        <v>0</v>
      </c>
      <c r="AF1132" s="35">
        <v>2022</v>
      </c>
      <c r="AG1132" s="35">
        <v>2022</v>
      </c>
      <c r="AH1132" s="36">
        <v>2022</v>
      </c>
      <c r="AT1132" s="21" t="e">
        <f t="shared" si="557"/>
        <v>#N/A</v>
      </c>
    </row>
    <row r="1133" spans="1:46" ht="61.5" x14ac:dyDescent="0.85">
      <c r="A1133" s="21">
        <v>1</v>
      </c>
      <c r="B1133" s="70">
        <f>SUBTOTAL(103,$A$896:A1133)</f>
        <v>192</v>
      </c>
      <c r="C1133" s="25" t="s">
        <v>165</v>
      </c>
      <c r="D1133" s="32">
        <f t="shared" si="569"/>
        <v>3457309.86</v>
      </c>
      <c r="E1133" s="32">
        <v>0</v>
      </c>
      <c r="F1133" s="32">
        <v>0</v>
      </c>
      <c r="G1133" s="32">
        <v>0</v>
      </c>
      <c r="H1133" s="32">
        <v>0</v>
      </c>
      <c r="I1133" s="32">
        <v>0</v>
      </c>
      <c r="J1133" s="32">
        <v>0</v>
      </c>
      <c r="K1133" s="34">
        <v>0</v>
      </c>
      <c r="L1133" s="32">
        <v>0</v>
      </c>
      <c r="M1133" s="32">
        <v>866.32</v>
      </c>
      <c r="N1133" s="32">
        <v>3258433.36</v>
      </c>
      <c r="O1133" s="32">
        <v>0</v>
      </c>
      <c r="P1133" s="32">
        <v>0</v>
      </c>
      <c r="Q1133" s="32">
        <v>0</v>
      </c>
      <c r="R1133" s="32">
        <v>0</v>
      </c>
      <c r="S1133" s="32">
        <v>0</v>
      </c>
      <c r="T1133" s="32">
        <v>0</v>
      </c>
      <c r="U1133" s="32">
        <v>0</v>
      </c>
      <c r="V1133" s="32">
        <v>0</v>
      </c>
      <c r="W1133" s="32">
        <v>0</v>
      </c>
      <c r="X1133" s="32">
        <v>0</v>
      </c>
      <c r="Y1133" s="32">
        <v>0</v>
      </c>
      <c r="Z1133" s="32">
        <v>0</v>
      </c>
      <c r="AA1133" s="32">
        <v>0</v>
      </c>
      <c r="AB1133" s="32">
        <v>0</v>
      </c>
      <c r="AC1133" s="32">
        <f t="shared" si="570"/>
        <v>48876.5</v>
      </c>
      <c r="AD1133" s="32">
        <v>150000</v>
      </c>
      <c r="AE1133" s="32">
        <v>0</v>
      </c>
      <c r="AF1133" s="35">
        <v>2022</v>
      </c>
      <c r="AG1133" s="35">
        <v>2022</v>
      </c>
      <c r="AH1133" s="36">
        <v>2022</v>
      </c>
      <c r="AT1133" s="21" t="e">
        <f t="shared" si="557"/>
        <v>#N/A</v>
      </c>
    </row>
    <row r="1134" spans="1:46" ht="61.5" x14ac:dyDescent="0.85">
      <c r="A1134" s="21">
        <v>1</v>
      </c>
      <c r="B1134" s="70">
        <f>SUBTOTAL(103,$A$896:A1134)</f>
        <v>193</v>
      </c>
      <c r="C1134" s="25" t="s">
        <v>166</v>
      </c>
      <c r="D1134" s="32">
        <f t="shared" si="569"/>
        <v>3906950.76</v>
      </c>
      <c r="E1134" s="32">
        <v>0</v>
      </c>
      <c r="F1134" s="32">
        <v>0</v>
      </c>
      <c r="G1134" s="32">
        <v>0</v>
      </c>
      <c r="H1134" s="32">
        <v>0</v>
      </c>
      <c r="I1134" s="32">
        <v>0</v>
      </c>
      <c r="J1134" s="32">
        <v>0</v>
      </c>
      <c r="K1134" s="34">
        <v>0</v>
      </c>
      <c r="L1134" s="32">
        <v>0</v>
      </c>
      <c r="M1134" s="32">
        <v>748.2</v>
      </c>
      <c r="N1134" s="32">
        <v>3701429.32</v>
      </c>
      <c r="O1134" s="32">
        <v>0</v>
      </c>
      <c r="P1134" s="32">
        <v>0</v>
      </c>
      <c r="Q1134" s="32">
        <v>0</v>
      </c>
      <c r="R1134" s="32">
        <v>0</v>
      </c>
      <c r="S1134" s="32">
        <v>0</v>
      </c>
      <c r="T1134" s="32">
        <v>0</v>
      </c>
      <c r="U1134" s="32">
        <v>0</v>
      </c>
      <c r="V1134" s="32">
        <v>0</v>
      </c>
      <c r="W1134" s="32">
        <v>0</v>
      </c>
      <c r="X1134" s="32">
        <v>0</v>
      </c>
      <c r="Y1134" s="32">
        <v>0</v>
      </c>
      <c r="Z1134" s="32">
        <v>0</v>
      </c>
      <c r="AA1134" s="32">
        <v>0</v>
      </c>
      <c r="AB1134" s="32">
        <v>0</v>
      </c>
      <c r="AC1134" s="32">
        <f t="shared" si="570"/>
        <v>55521.440000000002</v>
      </c>
      <c r="AD1134" s="32">
        <v>150000</v>
      </c>
      <c r="AE1134" s="32">
        <v>0</v>
      </c>
      <c r="AF1134" s="35">
        <v>2022</v>
      </c>
      <c r="AG1134" s="35">
        <v>2022</v>
      </c>
      <c r="AH1134" s="36">
        <v>2022</v>
      </c>
      <c r="AT1134" s="21" t="e">
        <f t="shared" si="557"/>
        <v>#N/A</v>
      </c>
    </row>
    <row r="1135" spans="1:46" ht="61.5" x14ac:dyDescent="0.85">
      <c r="B1135" s="25" t="s">
        <v>905</v>
      </c>
      <c r="C1135" s="25"/>
      <c r="D1135" s="32">
        <f t="shared" ref="D1135:AE1135" si="571">SUM(D1136:D1139)</f>
        <v>11707868.220000001</v>
      </c>
      <c r="E1135" s="32">
        <f t="shared" si="571"/>
        <v>0</v>
      </c>
      <c r="F1135" s="32">
        <f t="shared" si="571"/>
        <v>0</v>
      </c>
      <c r="G1135" s="32">
        <f t="shared" si="571"/>
        <v>0</v>
      </c>
      <c r="H1135" s="32">
        <f t="shared" si="571"/>
        <v>0</v>
      </c>
      <c r="I1135" s="32">
        <f t="shared" si="571"/>
        <v>1819969.95</v>
      </c>
      <c r="J1135" s="32">
        <f t="shared" si="571"/>
        <v>0</v>
      </c>
      <c r="K1135" s="34">
        <f t="shared" si="571"/>
        <v>0</v>
      </c>
      <c r="L1135" s="32">
        <f t="shared" si="571"/>
        <v>0</v>
      </c>
      <c r="M1135" s="32">
        <f t="shared" si="571"/>
        <v>1736.79</v>
      </c>
      <c r="N1135" s="32">
        <f t="shared" si="571"/>
        <v>8639576.379999999</v>
      </c>
      <c r="O1135" s="32">
        <f t="shared" si="571"/>
        <v>146</v>
      </c>
      <c r="P1135" s="32">
        <f t="shared" si="571"/>
        <v>365939.61</v>
      </c>
      <c r="Q1135" s="32">
        <f t="shared" si="571"/>
        <v>0</v>
      </c>
      <c r="R1135" s="32">
        <f t="shared" si="571"/>
        <v>0</v>
      </c>
      <c r="S1135" s="32">
        <f t="shared" si="571"/>
        <v>0</v>
      </c>
      <c r="T1135" s="32">
        <f t="shared" si="571"/>
        <v>0</v>
      </c>
      <c r="U1135" s="32">
        <f t="shared" si="571"/>
        <v>0</v>
      </c>
      <c r="V1135" s="32">
        <f t="shared" si="571"/>
        <v>0</v>
      </c>
      <c r="W1135" s="32">
        <f t="shared" si="571"/>
        <v>0</v>
      </c>
      <c r="X1135" s="32">
        <f t="shared" si="571"/>
        <v>0</v>
      </c>
      <c r="Y1135" s="32">
        <f t="shared" si="571"/>
        <v>0</v>
      </c>
      <c r="Z1135" s="32">
        <f t="shared" si="571"/>
        <v>0</v>
      </c>
      <c r="AA1135" s="32">
        <f t="shared" si="571"/>
        <v>0</v>
      </c>
      <c r="AB1135" s="32">
        <f t="shared" si="571"/>
        <v>0</v>
      </c>
      <c r="AC1135" s="32">
        <f t="shared" si="571"/>
        <v>162382.28</v>
      </c>
      <c r="AD1135" s="32">
        <f t="shared" si="571"/>
        <v>720000</v>
      </c>
      <c r="AE1135" s="32">
        <f t="shared" si="571"/>
        <v>0</v>
      </c>
      <c r="AF1135" s="113" t="s">
        <v>801</v>
      </c>
      <c r="AG1135" s="113" t="s">
        <v>801</v>
      </c>
      <c r="AH1135" s="114" t="s">
        <v>801</v>
      </c>
      <c r="AT1135" s="21" t="e">
        <f t="shared" si="557"/>
        <v>#N/A</v>
      </c>
    </row>
    <row r="1136" spans="1:46" ht="61.5" x14ac:dyDescent="0.85">
      <c r="A1136" s="21">
        <v>1</v>
      </c>
      <c r="B1136" s="70">
        <f>SUBTOTAL(103,$A$896:A1136)</f>
        <v>194</v>
      </c>
      <c r="C1136" s="25" t="s">
        <v>159</v>
      </c>
      <c r="D1136" s="32">
        <f t="shared" ref="D1136:D1139" si="572">E1136+F1136+G1136+H1136+I1136+J1136+L1136+N1136+P1136+R1136+T1136+U1136+V1136+W1136+X1136+Y1136+Z1136+AA1136+AB1136+AC1136+AD1136+AE1136</f>
        <v>2147269.5</v>
      </c>
      <c r="E1136" s="32">
        <v>0</v>
      </c>
      <c r="F1136" s="32">
        <v>0</v>
      </c>
      <c r="G1136" s="32">
        <v>0</v>
      </c>
      <c r="H1136" s="32">
        <v>0</v>
      </c>
      <c r="I1136" s="32">
        <v>1819969.95</v>
      </c>
      <c r="J1136" s="32">
        <v>0</v>
      </c>
      <c r="K1136" s="96">
        <v>0</v>
      </c>
      <c r="L1136" s="32">
        <v>0</v>
      </c>
      <c r="M1136" s="32">
        <v>0</v>
      </c>
      <c r="N1136" s="32">
        <v>0</v>
      </c>
      <c r="O1136" s="32">
        <v>0</v>
      </c>
      <c r="P1136" s="32">
        <v>0</v>
      </c>
      <c r="Q1136" s="32">
        <v>0</v>
      </c>
      <c r="R1136" s="32">
        <v>0</v>
      </c>
      <c r="S1136" s="32">
        <v>0</v>
      </c>
      <c r="T1136" s="32">
        <v>0</v>
      </c>
      <c r="U1136" s="32">
        <v>0</v>
      </c>
      <c r="V1136" s="32">
        <v>0</v>
      </c>
      <c r="W1136" s="32">
        <v>0</v>
      </c>
      <c r="X1136" s="32">
        <v>0</v>
      </c>
      <c r="Y1136" s="32">
        <v>0</v>
      </c>
      <c r="Z1136" s="32">
        <v>0</v>
      </c>
      <c r="AA1136" s="32">
        <v>0</v>
      </c>
      <c r="AB1136" s="32">
        <v>0</v>
      </c>
      <c r="AC1136" s="32">
        <v>27299.55</v>
      </c>
      <c r="AD1136" s="32">
        <v>300000</v>
      </c>
      <c r="AE1136" s="32">
        <v>0</v>
      </c>
      <c r="AF1136" s="35">
        <v>2022</v>
      </c>
      <c r="AG1136" s="35">
        <v>2022</v>
      </c>
      <c r="AH1136" s="36">
        <v>2022</v>
      </c>
      <c r="AT1136" s="21" t="e">
        <f t="shared" si="557"/>
        <v>#N/A</v>
      </c>
    </row>
    <row r="1137" spans="1:46" ht="61.5" x14ac:dyDescent="0.85">
      <c r="A1137" s="21">
        <v>1</v>
      </c>
      <c r="B1137" s="70">
        <f>SUBTOTAL(103,$A$896:A1137)</f>
        <v>195</v>
      </c>
      <c r="C1137" s="25" t="s">
        <v>160</v>
      </c>
      <c r="D1137" s="32">
        <f t="shared" si="572"/>
        <v>491428.7</v>
      </c>
      <c r="E1137" s="32">
        <v>0</v>
      </c>
      <c r="F1137" s="32">
        <v>0</v>
      </c>
      <c r="G1137" s="32">
        <v>0</v>
      </c>
      <c r="H1137" s="32">
        <v>0</v>
      </c>
      <c r="I1137" s="32">
        <v>0</v>
      </c>
      <c r="J1137" s="32">
        <v>0</v>
      </c>
      <c r="K1137" s="34">
        <v>0</v>
      </c>
      <c r="L1137" s="32">
        <v>0</v>
      </c>
      <c r="M1137" s="32">
        <v>0</v>
      </c>
      <c r="N1137" s="32">
        <v>0</v>
      </c>
      <c r="O1137" s="32">
        <v>146</v>
      </c>
      <c r="P1137" s="32">
        <v>365939.61</v>
      </c>
      <c r="Q1137" s="32">
        <v>0</v>
      </c>
      <c r="R1137" s="32">
        <v>0</v>
      </c>
      <c r="S1137" s="32">
        <v>0</v>
      </c>
      <c r="T1137" s="32">
        <v>0</v>
      </c>
      <c r="U1137" s="32">
        <v>0</v>
      </c>
      <c r="V1137" s="32">
        <v>0</v>
      </c>
      <c r="W1137" s="32">
        <v>0</v>
      </c>
      <c r="X1137" s="32">
        <v>0</v>
      </c>
      <c r="Y1137" s="32">
        <v>0</v>
      </c>
      <c r="Z1137" s="32">
        <v>0</v>
      </c>
      <c r="AA1137" s="32">
        <v>0</v>
      </c>
      <c r="AB1137" s="32">
        <v>0</v>
      </c>
      <c r="AC1137" s="32">
        <f>ROUND(P1137*1.5%,2)</f>
        <v>5489.09</v>
      </c>
      <c r="AD1137" s="32">
        <v>120000</v>
      </c>
      <c r="AE1137" s="32">
        <v>0</v>
      </c>
      <c r="AF1137" s="35">
        <v>2022</v>
      </c>
      <c r="AG1137" s="35">
        <v>2022</v>
      </c>
      <c r="AH1137" s="36">
        <v>2022</v>
      </c>
      <c r="AT1137" s="21" t="e">
        <f t="shared" si="557"/>
        <v>#N/A</v>
      </c>
    </row>
    <row r="1138" spans="1:46" ht="61.5" x14ac:dyDescent="0.85">
      <c r="A1138" s="21">
        <v>1</v>
      </c>
      <c r="B1138" s="70">
        <f>SUBTOTAL(103,$A$896:A1138)</f>
        <v>196</v>
      </c>
      <c r="C1138" s="25" t="s">
        <v>162</v>
      </c>
      <c r="D1138" s="32">
        <f t="shared" si="572"/>
        <v>3873479.02</v>
      </c>
      <c r="E1138" s="32">
        <v>0</v>
      </c>
      <c r="F1138" s="32">
        <v>0</v>
      </c>
      <c r="G1138" s="32">
        <v>0</v>
      </c>
      <c r="H1138" s="32">
        <v>0</v>
      </c>
      <c r="I1138" s="32">
        <v>0</v>
      </c>
      <c r="J1138" s="32">
        <v>0</v>
      </c>
      <c r="K1138" s="34">
        <v>0</v>
      </c>
      <c r="L1138" s="32">
        <v>0</v>
      </c>
      <c r="M1138" s="32">
        <v>741.79</v>
      </c>
      <c r="N1138" s="32">
        <f>3668452.24</f>
        <v>3668452.24</v>
      </c>
      <c r="O1138" s="32">
        <v>0</v>
      </c>
      <c r="P1138" s="32">
        <v>0</v>
      </c>
      <c r="Q1138" s="32">
        <v>0</v>
      </c>
      <c r="R1138" s="32">
        <v>0</v>
      </c>
      <c r="S1138" s="32">
        <v>0</v>
      </c>
      <c r="T1138" s="32">
        <v>0</v>
      </c>
      <c r="U1138" s="32">
        <v>0</v>
      </c>
      <c r="V1138" s="32">
        <v>0</v>
      </c>
      <c r="W1138" s="32">
        <v>0</v>
      </c>
      <c r="X1138" s="32">
        <v>0</v>
      </c>
      <c r="Y1138" s="32">
        <v>0</v>
      </c>
      <c r="Z1138" s="32">
        <v>0</v>
      </c>
      <c r="AA1138" s="32">
        <v>0</v>
      </c>
      <c r="AB1138" s="32">
        <v>0</v>
      </c>
      <c r="AC1138" s="32">
        <f>ROUND(N1138*1.5%,2)</f>
        <v>55026.78</v>
      </c>
      <c r="AD1138" s="32">
        <v>150000</v>
      </c>
      <c r="AE1138" s="32">
        <v>0</v>
      </c>
      <c r="AF1138" s="35">
        <v>2022</v>
      </c>
      <c r="AG1138" s="35">
        <v>2022</v>
      </c>
      <c r="AH1138" s="36">
        <v>2022</v>
      </c>
      <c r="AT1138" s="21" t="e">
        <f t="shared" si="557"/>
        <v>#N/A</v>
      </c>
    </row>
    <row r="1139" spans="1:46" ht="61.5" x14ac:dyDescent="0.85">
      <c r="A1139" s="21">
        <v>1</v>
      </c>
      <c r="B1139" s="70">
        <f>SUBTOTAL(103,$A$896:A1139)</f>
        <v>197</v>
      </c>
      <c r="C1139" s="25" t="s">
        <v>140</v>
      </c>
      <c r="D1139" s="32">
        <f t="shared" si="572"/>
        <v>5195691</v>
      </c>
      <c r="E1139" s="32">
        <v>0</v>
      </c>
      <c r="F1139" s="32">
        <v>0</v>
      </c>
      <c r="G1139" s="32">
        <v>0</v>
      </c>
      <c r="H1139" s="32">
        <v>0</v>
      </c>
      <c r="I1139" s="32">
        <v>0</v>
      </c>
      <c r="J1139" s="32">
        <v>0</v>
      </c>
      <c r="K1139" s="34">
        <v>0</v>
      </c>
      <c r="L1139" s="32">
        <v>0</v>
      </c>
      <c r="M1139" s="32">
        <v>995</v>
      </c>
      <c r="N1139" s="32">
        <v>4971124.1399999997</v>
      </c>
      <c r="O1139" s="32">
        <v>0</v>
      </c>
      <c r="P1139" s="32">
        <v>0</v>
      </c>
      <c r="Q1139" s="32">
        <v>0</v>
      </c>
      <c r="R1139" s="32">
        <v>0</v>
      </c>
      <c r="S1139" s="32">
        <v>0</v>
      </c>
      <c r="T1139" s="32">
        <v>0</v>
      </c>
      <c r="U1139" s="32">
        <v>0</v>
      </c>
      <c r="V1139" s="32">
        <v>0</v>
      </c>
      <c r="W1139" s="32">
        <v>0</v>
      </c>
      <c r="X1139" s="32">
        <v>0</v>
      </c>
      <c r="Y1139" s="32">
        <v>0</v>
      </c>
      <c r="Z1139" s="32">
        <v>0</v>
      </c>
      <c r="AA1139" s="32">
        <v>0</v>
      </c>
      <c r="AB1139" s="32">
        <v>0</v>
      </c>
      <c r="AC1139" s="32">
        <f>ROUND(N1139*1.5%,2)</f>
        <v>74566.86</v>
      </c>
      <c r="AD1139" s="32">
        <v>150000</v>
      </c>
      <c r="AE1139" s="32">
        <v>0</v>
      </c>
      <c r="AF1139" s="35">
        <v>2022</v>
      </c>
      <c r="AG1139" s="35">
        <v>2022</v>
      </c>
      <c r="AH1139" s="36">
        <v>2022</v>
      </c>
      <c r="AT1139" s="21" t="e">
        <f>VLOOKUP(C1139,AW$1139:AX$1139,2,FALSE)</f>
        <v>#N/A</v>
      </c>
    </row>
    <row r="1140" spans="1:46" ht="61.5" x14ac:dyDescent="0.85">
      <c r="B1140" s="25" t="s">
        <v>906</v>
      </c>
      <c r="C1140" s="110"/>
      <c r="D1140" s="32">
        <f>D1141+D1142</f>
        <v>9221698.8000000007</v>
      </c>
      <c r="E1140" s="32">
        <f t="shared" ref="E1140:AE1140" si="573">E1141+E1142</f>
        <v>0</v>
      </c>
      <c r="F1140" s="32">
        <f t="shared" si="573"/>
        <v>0</v>
      </c>
      <c r="G1140" s="32">
        <f t="shared" si="573"/>
        <v>0</v>
      </c>
      <c r="H1140" s="32">
        <f t="shared" si="573"/>
        <v>0</v>
      </c>
      <c r="I1140" s="32">
        <f t="shared" si="573"/>
        <v>0</v>
      </c>
      <c r="J1140" s="32">
        <f t="shared" si="573"/>
        <v>0</v>
      </c>
      <c r="K1140" s="34">
        <f t="shared" si="573"/>
        <v>0</v>
      </c>
      <c r="L1140" s="32">
        <f t="shared" si="573"/>
        <v>0</v>
      </c>
      <c r="M1140" s="32">
        <f t="shared" si="573"/>
        <v>1766</v>
      </c>
      <c r="N1140" s="32">
        <f t="shared" si="573"/>
        <v>8789851.0299999993</v>
      </c>
      <c r="O1140" s="32">
        <f t="shared" si="573"/>
        <v>0</v>
      </c>
      <c r="P1140" s="32">
        <f t="shared" si="573"/>
        <v>0</v>
      </c>
      <c r="Q1140" s="32">
        <f t="shared" si="573"/>
        <v>0</v>
      </c>
      <c r="R1140" s="32">
        <f t="shared" si="573"/>
        <v>0</v>
      </c>
      <c r="S1140" s="32">
        <f t="shared" si="573"/>
        <v>0</v>
      </c>
      <c r="T1140" s="32">
        <f t="shared" si="573"/>
        <v>0</v>
      </c>
      <c r="U1140" s="32">
        <f t="shared" si="573"/>
        <v>0</v>
      </c>
      <c r="V1140" s="32">
        <f t="shared" si="573"/>
        <v>0</v>
      </c>
      <c r="W1140" s="32">
        <f t="shared" si="573"/>
        <v>0</v>
      </c>
      <c r="X1140" s="32">
        <f t="shared" si="573"/>
        <v>0</v>
      </c>
      <c r="Y1140" s="32">
        <f t="shared" si="573"/>
        <v>0</v>
      </c>
      <c r="Z1140" s="32">
        <f t="shared" si="573"/>
        <v>0</v>
      </c>
      <c r="AA1140" s="32">
        <f t="shared" si="573"/>
        <v>0</v>
      </c>
      <c r="AB1140" s="32">
        <f t="shared" si="573"/>
        <v>0</v>
      </c>
      <c r="AC1140" s="32">
        <f t="shared" si="573"/>
        <v>131847.76999999999</v>
      </c>
      <c r="AD1140" s="32">
        <f t="shared" si="573"/>
        <v>300000</v>
      </c>
      <c r="AE1140" s="32">
        <f t="shared" si="573"/>
        <v>0</v>
      </c>
      <c r="AF1140" s="113" t="s">
        <v>801</v>
      </c>
      <c r="AG1140" s="113" t="s">
        <v>801</v>
      </c>
      <c r="AH1140" s="114" t="s">
        <v>801</v>
      </c>
      <c r="AT1140" s="21" t="e">
        <f t="shared" ref="AT1140:AT1165" si="574">VLOOKUP(C1140,AW:AX,2,FALSE)</f>
        <v>#N/A</v>
      </c>
    </row>
    <row r="1141" spans="1:46" ht="61.5" x14ac:dyDescent="0.85">
      <c r="A1141" s="21">
        <v>1</v>
      </c>
      <c r="B1141" s="70">
        <f>SUBTOTAL(103,$A$896:A1141)</f>
        <v>198</v>
      </c>
      <c r="C1141" s="25" t="s">
        <v>102</v>
      </c>
      <c r="D1141" s="32">
        <f t="shared" ref="D1141:D1142" si="575">E1141+F1141+G1141+H1141+I1141+J1141+L1141+N1141+P1141+R1141+T1141+U1141+V1141+W1141+X1141+Y1141+Z1141+AA1141+AB1141+AC1141+AD1141+AE1141</f>
        <v>4177440</v>
      </c>
      <c r="E1141" s="32">
        <v>0</v>
      </c>
      <c r="F1141" s="32">
        <v>0</v>
      </c>
      <c r="G1141" s="32">
        <v>0</v>
      </c>
      <c r="H1141" s="32">
        <v>0</v>
      </c>
      <c r="I1141" s="32">
        <v>0</v>
      </c>
      <c r="J1141" s="32">
        <v>0</v>
      </c>
      <c r="K1141" s="34">
        <v>0</v>
      </c>
      <c r="L1141" s="32">
        <v>0</v>
      </c>
      <c r="M1141" s="32">
        <v>800</v>
      </c>
      <c r="N1141" s="32">
        <v>3967921.18</v>
      </c>
      <c r="O1141" s="32">
        <v>0</v>
      </c>
      <c r="P1141" s="32">
        <v>0</v>
      </c>
      <c r="Q1141" s="32">
        <v>0</v>
      </c>
      <c r="R1141" s="32">
        <v>0</v>
      </c>
      <c r="S1141" s="32">
        <v>0</v>
      </c>
      <c r="T1141" s="32">
        <v>0</v>
      </c>
      <c r="U1141" s="32">
        <v>0</v>
      </c>
      <c r="V1141" s="32">
        <v>0</v>
      </c>
      <c r="W1141" s="32">
        <v>0</v>
      </c>
      <c r="X1141" s="32">
        <v>0</v>
      </c>
      <c r="Y1141" s="32">
        <v>0</v>
      </c>
      <c r="Z1141" s="32">
        <v>0</v>
      </c>
      <c r="AA1141" s="32">
        <v>0</v>
      </c>
      <c r="AB1141" s="32">
        <v>0</v>
      </c>
      <c r="AC1141" s="32">
        <f t="shared" ref="AC1141:AC1142" si="576">ROUND(N1141*1.5%,2)</f>
        <v>59518.82</v>
      </c>
      <c r="AD1141" s="32">
        <v>150000</v>
      </c>
      <c r="AE1141" s="32">
        <v>0</v>
      </c>
      <c r="AF1141" s="35">
        <v>2022</v>
      </c>
      <c r="AG1141" s="35">
        <v>2022</v>
      </c>
      <c r="AH1141" s="36">
        <v>2022</v>
      </c>
      <c r="AT1141" s="21" t="e">
        <f t="shared" si="574"/>
        <v>#N/A</v>
      </c>
    </row>
    <row r="1142" spans="1:46" ht="61.5" x14ac:dyDescent="0.85">
      <c r="A1142" s="21">
        <v>1</v>
      </c>
      <c r="B1142" s="70">
        <f>SUBTOTAL(103,$A$896:A1142)</f>
        <v>199</v>
      </c>
      <c r="C1142" s="25" t="s">
        <v>103</v>
      </c>
      <c r="D1142" s="32">
        <f t="shared" si="575"/>
        <v>5044258.8</v>
      </c>
      <c r="E1142" s="32">
        <v>0</v>
      </c>
      <c r="F1142" s="32">
        <v>0</v>
      </c>
      <c r="G1142" s="32">
        <v>0</v>
      </c>
      <c r="H1142" s="32">
        <v>0</v>
      </c>
      <c r="I1142" s="32">
        <v>0</v>
      </c>
      <c r="J1142" s="32">
        <v>0</v>
      </c>
      <c r="K1142" s="34">
        <v>0</v>
      </c>
      <c r="L1142" s="32">
        <v>0</v>
      </c>
      <c r="M1142" s="32">
        <v>966</v>
      </c>
      <c r="N1142" s="32">
        <v>4821929.8499999996</v>
      </c>
      <c r="O1142" s="32">
        <v>0</v>
      </c>
      <c r="P1142" s="32">
        <v>0</v>
      </c>
      <c r="Q1142" s="32">
        <v>0</v>
      </c>
      <c r="R1142" s="32">
        <v>0</v>
      </c>
      <c r="S1142" s="32">
        <v>0</v>
      </c>
      <c r="T1142" s="32">
        <v>0</v>
      </c>
      <c r="U1142" s="32">
        <v>0</v>
      </c>
      <c r="V1142" s="32">
        <v>0</v>
      </c>
      <c r="W1142" s="32">
        <v>0</v>
      </c>
      <c r="X1142" s="32">
        <v>0</v>
      </c>
      <c r="Y1142" s="32">
        <v>0</v>
      </c>
      <c r="Z1142" s="32">
        <v>0</v>
      </c>
      <c r="AA1142" s="32">
        <v>0</v>
      </c>
      <c r="AB1142" s="32">
        <v>0</v>
      </c>
      <c r="AC1142" s="32">
        <f t="shared" si="576"/>
        <v>72328.95</v>
      </c>
      <c r="AD1142" s="32">
        <v>150000</v>
      </c>
      <c r="AE1142" s="32">
        <v>0</v>
      </c>
      <c r="AF1142" s="35">
        <v>2022</v>
      </c>
      <c r="AG1142" s="35">
        <v>2022</v>
      </c>
      <c r="AH1142" s="36">
        <v>2022</v>
      </c>
      <c r="AT1142" s="21" t="e">
        <f t="shared" si="574"/>
        <v>#N/A</v>
      </c>
    </row>
    <row r="1143" spans="1:46" ht="61.5" x14ac:dyDescent="0.85">
      <c r="B1143" s="25" t="s">
        <v>933</v>
      </c>
      <c r="C1143" s="25"/>
      <c r="D1143" s="32">
        <f>D1144</f>
        <v>3623929.1999999997</v>
      </c>
      <c r="E1143" s="32">
        <f t="shared" ref="E1143:AE1143" si="577">E1144</f>
        <v>0</v>
      </c>
      <c r="F1143" s="32">
        <f t="shared" si="577"/>
        <v>0</v>
      </c>
      <c r="G1143" s="32">
        <f t="shared" si="577"/>
        <v>0</v>
      </c>
      <c r="H1143" s="32">
        <f t="shared" si="577"/>
        <v>0</v>
      </c>
      <c r="I1143" s="32">
        <f t="shared" si="577"/>
        <v>0</v>
      </c>
      <c r="J1143" s="32">
        <f t="shared" si="577"/>
        <v>0</v>
      </c>
      <c r="K1143" s="34">
        <f t="shared" si="577"/>
        <v>0</v>
      </c>
      <c r="L1143" s="32">
        <f t="shared" si="577"/>
        <v>0</v>
      </c>
      <c r="M1143" s="32">
        <f t="shared" si="577"/>
        <v>694</v>
      </c>
      <c r="N1143" s="32">
        <f t="shared" si="577"/>
        <v>3422590.34</v>
      </c>
      <c r="O1143" s="32">
        <f t="shared" si="577"/>
        <v>0</v>
      </c>
      <c r="P1143" s="32">
        <f t="shared" si="577"/>
        <v>0</v>
      </c>
      <c r="Q1143" s="32">
        <f t="shared" si="577"/>
        <v>0</v>
      </c>
      <c r="R1143" s="32">
        <f t="shared" si="577"/>
        <v>0</v>
      </c>
      <c r="S1143" s="32">
        <f t="shared" si="577"/>
        <v>0</v>
      </c>
      <c r="T1143" s="32">
        <f t="shared" si="577"/>
        <v>0</v>
      </c>
      <c r="U1143" s="32">
        <f t="shared" si="577"/>
        <v>0</v>
      </c>
      <c r="V1143" s="32">
        <f t="shared" si="577"/>
        <v>0</v>
      </c>
      <c r="W1143" s="32">
        <f t="shared" si="577"/>
        <v>0</v>
      </c>
      <c r="X1143" s="32">
        <f t="shared" si="577"/>
        <v>0</v>
      </c>
      <c r="Y1143" s="32">
        <f t="shared" si="577"/>
        <v>0</v>
      </c>
      <c r="Z1143" s="32">
        <f t="shared" si="577"/>
        <v>0</v>
      </c>
      <c r="AA1143" s="32">
        <f t="shared" si="577"/>
        <v>0</v>
      </c>
      <c r="AB1143" s="32">
        <f t="shared" si="577"/>
        <v>0</v>
      </c>
      <c r="AC1143" s="32">
        <f t="shared" si="577"/>
        <v>51338.86</v>
      </c>
      <c r="AD1143" s="32">
        <f t="shared" si="577"/>
        <v>150000</v>
      </c>
      <c r="AE1143" s="32">
        <f t="shared" si="577"/>
        <v>0</v>
      </c>
      <c r="AF1143" s="113" t="s">
        <v>801</v>
      </c>
      <c r="AG1143" s="113" t="s">
        <v>801</v>
      </c>
      <c r="AH1143" s="114" t="s">
        <v>801</v>
      </c>
      <c r="AT1143" s="21" t="e">
        <f t="shared" si="574"/>
        <v>#N/A</v>
      </c>
    </row>
    <row r="1144" spans="1:46" ht="61.5" x14ac:dyDescent="0.85">
      <c r="A1144" s="21">
        <v>1</v>
      </c>
      <c r="B1144" s="70">
        <f>SUBTOTAL(103,$A$896:A1144)</f>
        <v>200</v>
      </c>
      <c r="C1144" s="25" t="s">
        <v>107</v>
      </c>
      <c r="D1144" s="32">
        <f t="shared" ref="D1144" si="578">E1144+F1144+G1144+H1144+I1144+J1144+L1144+N1144+P1144+R1144+T1144+U1144+V1144+W1144+X1144+Y1144+Z1144+AA1144+AB1144+AC1144+AD1144+AE1144</f>
        <v>3623929.1999999997</v>
      </c>
      <c r="E1144" s="32">
        <v>0</v>
      </c>
      <c r="F1144" s="32">
        <v>0</v>
      </c>
      <c r="G1144" s="32">
        <v>0</v>
      </c>
      <c r="H1144" s="32">
        <v>0</v>
      </c>
      <c r="I1144" s="32">
        <v>0</v>
      </c>
      <c r="J1144" s="32">
        <v>0</v>
      </c>
      <c r="K1144" s="34">
        <v>0</v>
      </c>
      <c r="L1144" s="32">
        <v>0</v>
      </c>
      <c r="M1144" s="32">
        <v>694</v>
      </c>
      <c r="N1144" s="32">
        <v>3422590.34</v>
      </c>
      <c r="O1144" s="32">
        <v>0</v>
      </c>
      <c r="P1144" s="32">
        <v>0</v>
      </c>
      <c r="Q1144" s="32">
        <v>0</v>
      </c>
      <c r="R1144" s="32">
        <v>0</v>
      </c>
      <c r="S1144" s="32">
        <v>0</v>
      </c>
      <c r="T1144" s="32">
        <v>0</v>
      </c>
      <c r="U1144" s="32">
        <v>0</v>
      </c>
      <c r="V1144" s="32">
        <v>0</v>
      </c>
      <c r="W1144" s="32">
        <v>0</v>
      </c>
      <c r="X1144" s="32">
        <v>0</v>
      </c>
      <c r="Y1144" s="32">
        <v>0</v>
      </c>
      <c r="Z1144" s="32">
        <v>0</v>
      </c>
      <c r="AA1144" s="32">
        <v>0</v>
      </c>
      <c r="AB1144" s="32">
        <v>0</v>
      </c>
      <c r="AC1144" s="32">
        <f>ROUND(N1144*1.5%,2)</f>
        <v>51338.86</v>
      </c>
      <c r="AD1144" s="32">
        <v>150000</v>
      </c>
      <c r="AE1144" s="32">
        <v>0</v>
      </c>
      <c r="AF1144" s="35">
        <v>2022</v>
      </c>
      <c r="AG1144" s="35">
        <v>2022</v>
      </c>
      <c r="AH1144" s="36">
        <v>2022</v>
      </c>
      <c r="AT1144" s="21" t="e">
        <f t="shared" si="574"/>
        <v>#N/A</v>
      </c>
    </row>
    <row r="1145" spans="1:46" ht="61.5" x14ac:dyDescent="0.85">
      <c r="B1145" s="25" t="s">
        <v>907</v>
      </c>
      <c r="C1145" s="25"/>
      <c r="D1145" s="32">
        <f>D1146</f>
        <v>3080862</v>
      </c>
      <c r="E1145" s="32">
        <f t="shared" ref="E1145:AE1145" si="579">E1146</f>
        <v>0</v>
      </c>
      <c r="F1145" s="32">
        <f t="shared" si="579"/>
        <v>0</v>
      </c>
      <c r="G1145" s="32">
        <f t="shared" si="579"/>
        <v>0</v>
      </c>
      <c r="H1145" s="32">
        <f t="shared" si="579"/>
        <v>0</v>
      </c>
      <c r="I1145" s="32">
        <f t="shared" si="579"/>
        <v>0</v>
      </c>
      <c r="J1145" s="32">
        <f t="shared" si="579"/>
        <v>0</v>
      </c>
      <c r="K1145" s="34">
        <f t="shared" si="579"/>
        <v>0</v>
      </c>
      <c r="L1145" s="32">
        <f t="shared" si="579"/>
        <v>0</v>
      </c>
      <c r="M1145" s="32">
        <f t="shared" si="579"/>
        <v>590</v>
      </c>
      <c r="N1145" s="32">
        <f t="shared" si="579"/>
        <v>2887548.77</v>
      </c>
      <c r="O1145" s="32">
        <f t="shared" si="579"/>
        <v>0</v>
      </c>
      <c r="P1145" s="32">
        <f t="shared" si="579"/>
        <v>0</v>
      </c>
      <c r="Q1145" s="32">
        <f t="shared" si="579"/>
        <v>0</v>
      </c>
      <c r="R1145" s="32">
        <f t="shared" si="579"/>
        <v>0</v>
      </c>
      <c r="S1145" s="32">
        <f t="shared" si="579"/>
        <v>0</v>
      </c>
      <c r="T1145" s="32">
        <f t="shared" si="579"/>
        <v>0</v>
      </c>
      <c r="U1145" s="32">
        <f t="shared" si="579"/>
        <v>0</v>
      </c>
      <c r="V1145" s="32">
        <f t="shared" si="579"/>
        <v>0</v>
      </c>
      <c r="W1145" s="32">
        <f t="shared" si="579"/>
        <v>0</v>
      </c>
      <c r="X1145" s="32">
        <f t="shared" si="579"/>
        <v>0</v>
      </c>
      <c r="Y1145" s="32">
        <f t="shared" si="579"/>
        <v>0</v>
      </c>
      <c r="Z1145" s="32">
        <f t="shared" si="579"/>
        <v>0</v>
      </c>
      <c r="AA1145" s="32">
        <f t="shared" si="579"/>
        <v>0</v>
      </c>
      <c r="AB1145" s="32">
        <f t="shared" si="579"/>
        <v>0</v>
      </c>
      <c r="AC1145" s="32">
        <f t="shared" si="579"/>
        <v>43313.23</v>
      </c>
      <c r="AD1145" s="32">
        <f t="shared" si="579"/>
        <v>150000</v>
      </c>
      <c r="AE1145" s="32">
        <f t="shared" si="579"/>
        <v>0</v>
      </c>
      <c r="AF1145" s="113" t="s">
        <v>801</v>
      </c>
      <c r="AG1145" s="113" t="s">
        <v>801</v>
      </c>
      <c r="AH1145" s="114" t="s">
        <v>801</v>
      </c>
      <c r="AT1145" s="21" t="e">
        <f t="shared" si="574"/>
        <v>#N/A</v>
      </c>
    </row>
    <row r="1146" spans="1:46" ht="61.5" x14ac:dyDescent="0.85">
      <c r="A1146" s="21">
        <v>1</v>
      </c>
      <c r="B1146" s="70">
        <f>SUBTOTAL(103,$A$896:A1146)</f>
        <v>201</v>
      </c>
      <c r="C1146" s="25" t="s">
        <v>104</v>
      </c>
      <c r="D1146" s="32">
        <f t="shared" ref="D1146" si="580">E1146+F1146+G1146+H1146+I1146+J1146+L1146+N1146+P1146+R1146+T1146+U1146+V1146+W1146+X1146+Y1146+Z1146+AA1146+AB1146+AC1146+AD1146+AE1146</f>
        <v>3080862</v>
      </c>
      <c r="E1146" s="32">
        <v>0</v>
      </c>
      <c r="F1146" s="32">
        <v>0</v>
      </c>
      <c r="G1146" s="32">
        <v>0</v>
      </c>
      <c r="H1146" s="32">
        <v>0</v>
      </c>
      <c r="I1146" s="32">
        <v>0</v>
      </c>
      <c r="J1146" s="32">
        <v>0</v>
      </c>
      <c r="K1146" s="34">
        <v>0</v>
      </c>
      <c r="L1146" s="32">
        <v>0</v>
      </c>
      <c r="M1146" s="32">
        <v>590</v>
      </c>
      <c r="N1146" s="32">
        <v>2887548.77</v>
      </c>
      <c r="O1146" s="32">
        <v>0</v>
      </c>
      <c r="P1146" s="32">
        <v>0</v>
      </c>
      <c r="Q1146" s="32">
        <v>0</v>
      </c>
      <c r="R1146" s="32">
        <v>0</v>
      </c>
      <c r="S1146" s="32">
        <v>0</v>
      </c>
      <c r="T1146" s="32">
        <v>0</v>
      </c>
      <c r="U1146" s="32">
        <v>0</v>
      </c>
      <c r="V1146" s="32">
        <v>0</v>
      </c>
      <c r="W1146" s="32">
        <v>0</v>
      </c>
      <c r="X1146" s="32">
        <v>0</v>
      </c>
      <c r="Y1146" s="32">
        <v>0</v>
      </c>
      <c r="Z1146" s="32">
        <v>0</v>
      </c>
      <c r="AA1146" s="32">
        <v>0</v>
      </c>
      <c r="AB1146" s="32">
        <v>0</v>
      </c>
      <c r="AC1146" s="32">
        <f>ROUND(N1146*1.5%,2)</f>
        <v>43313.23</v>
      </c>
      <c r="AD1146" s="32">
        <v>150000</v>
      </c>
      <c r="AE1146" s="32">
        <v>0</v>
      </c>
      <c r="AF1146" s="35">
        <v>2022</v>
      </c>
      <c r="AG1146" s="35">
        <v>2022</v>
      </c>
      <c r="AH1146" s="36">
        <v>2022</v>
      </c>
      <c r="AT1146" s="21" t="e">
        <f t="shared" si="574"/>
        <v>#N/A</v>
      </c>
    </row>
    <row r="1147" spans="1:46" ht="61.5" x14ac:dyDescent="0.85">
      <c r="B1147" s="25" t="s">
        <v>908</v>
      </c>
      <c r="C1147" s="25"/>
      <c r="D1147" s="32">
        <f>D1148+D1149</f>
        <v>2610892.59</v>
      </c>
      <c r="E1147" s="32">
        <f t="shared" ref="E1147:AE1147" si="581">E1148+E1149</f>
        <v>0</v>
      </c>
      <c r="F1147" s="32">
        <f t="shared" si="581"/>
        <v>0</v>
      </c>
      <c r="G1147" s="32">
        <f t="shared" si="581"/>
        <v>0</v>
      </c>
      <c r="H1147" s="32">
        <f t="shared" si="581"/>
        <v>0</v>
      </c>
      <c r="I1147" s="32">
        <f t="shared" si="581"/>
        <v>0</v>
      </c>
      <c r="J1147" s="32">
        <f t="shared" si="581"/>
        <v>0</v>
      </c>
      <c r="K1147" s="34">
        <f t="shared" si="581"/>
        <v>0</v>
      </c>
      <c r="L1147" s="32">
        <f t="shared" si="581"/>
        <v>0</v>
      </c>
      <c r="M1147" s="32">
        <f t="shared" si="581"/>
        <v>500</v>
      </c>
      <c r="N1147" s="32">
        <f t="shared" si="581"/>
        <v>2335854.77</v>
      </c>
      <c r="O1147" s="32">
        <f t="shared" si="581"/>
        <v>0</v>
      </c>
      <c r="P1147" s="32">
        <f t="shared" si="581"/>
        <v>0</v>
      </c>
      <c r="Q1147" s="32">
        <f t="shared" si="581"/>
        <v>0</v>
      </c>
      <c r="R1147" s="32">
        <f t="shared" si="581"/>
        <v>0</v>
      </c>
      <c r="S1147" s="32">
        <f t="shared" si="581"/>
        <v>0</v>
      </c>
      <c r="T1147" s="32">
        <f t="shared" si="581"/>
        <v>0</v>
      </c>
      <c r="U1147" s="32">
        <f t="shared" si="581"/>
        <v>0</v>
      </c>
      <c r="V1147" s="32">
        <f t="shared" si="581"/>
        <v>0</v>
      </c>
      <c r="W1147" s="32">
        <f t="shared" si="581"/>
        <v>0</v>
      </c>
      <c r="X1147" s="32">
        <f t="shared" si="581"/>
        <v>0</v>
      </c>
      <c r="Y1147" s="32">
        <f t="shared" si="581"/>
        <v>0</v>
      </c>
      <c r="Z1147" s="32">
        <f t="shared" si="581"/>
        <v>0</v>
      </c>
      <c r="AA1147" s="32">
        <f t="shared" si="581"/>
        <v>0</v>
      </c>
      <c r="AB1147" s="32">
        <f t="shared" si="581"/>
        <v>0</v>
      </c>
      <c r="AC1147" s="32">
        <f t="shared" si="581"/>
        <v>35037.82</v>
      </c>
      <c r="AD1147" s="32">
        <f t="shared" si="581"/>
        <v>240000</v>
      </c>
      <c r="AE1147" s="32">
        <f t="shared" si="581"/>
        <v>0</v>
      </c>
      <c r="AF1147" s="113" t="s">
        <v>801</v>
      </c>
      <c r="AG1147" s="113" t="s">
        <v>801</v>
      </c>
      <c r="AH1147" s="114" t="s">
        <v>801</v>
      </c>
      <c r="AT1147" s="21" t="e">
        <f t="shared" si="574"/>
        <v>#N/A</v>
      </c>
    </row>
    <row r="1148" spans="1:46" ht="61.5" x14ac:dyDescent="0.85">
      <c r="A1148" s="21">
        <v>1</v>
      </c>
      <c r="B1148" s="70">
        <f>SUBTOTAL(103,$A$896:A1148)</f>
        <v>202</v>
      </c>
      <c r="C1148" s="25" t="s">
        <v>105</v>
      </c>
      <c r="D1148" s="32">
        <f t="shared" ref="D1148:D1149" si="582">E1148+F1148+G1148+H1148+I1148+J1148+L1148+N1148+P1148+R1148+T1148+U1148+V1148+W1148+X1148+Y1148+Z1148+AA1148+AB1148+AC1148+AD1148+AE1148</f>
        <v>1321115.3999999999</v>
      </c>
      <c r="E1148" s="32">
        <v>0</v>
      </c>
      <c r="F1148" s="32">
        <v>0</v>
      </c>
      <c r="G1148" s="32">
        <v>0</v>
      </c>
      <c r="H1148" s="32">
        <v>0</v>
      </c>
      <c r="I1148" s="32">
        <v>0</v>
      </c>
      <c r="J1148" s="32">
        <v>0</v>
      </c>
      <c r="K1148" s="34">
        <v>0</v>
      </c>
      <c r="L1148" s="32">
        <v>0</v>
      </c>
      <c r="M1148" s="32">
        <v>253</v>
      </c>
      <c r="N1148" s="32">
        <v>1183364.93</v>
      </c>
      <c r="O1148" s="32">
        <v>0</v>
      </c>
      <c r="P1148" s="32">
        <v>0</v>
      </c>
      <c r="Q1148" s="32">
        <v>0</v>
      </c>
      <c r="R1148" s="32">
        <v>0</v>
      </c>
      <c r="S1148" s="32">
        <v>0</v>
      </c>
      <c r="T1148" s="32">
        <v>0</v>
      </c>
      <c r="U1148" s="32">
        <v>0</v>
      </c>
      <c r="V1148" s="32">
        <v>0</v>
      </c>
      <c r="W1148" s="32">
        <v>0</v>
      </c>
      <c r="X1148" s="32">
        <v>0</v>
      </c>
      <c r="Y1148" s="32">
        <v>0</v>
      </c>
      <c r="Z1148" s="32">
        <v>0</v>
      </c>
      <c r="AA1148" s="32">
        <v>0</v>
      </c>
      <c r="AB1148" s="32">
        <v>0</v>
      </c>
      <c r="AC1148" s="32">
        <f t="shared" ref="AC1148:AC1149" si="583">ROUND(N1148*1.5%,2)</f>
        <v>17750.47</v>
      </c>
      <c r="AD1148" s="32">
        <v>120000</v>
      </c>
      <c r="AE1148" s="32">
        <v>0</v>
      </c>
      <c r="AF1148" s="35">
        <v>2022</v>
      </c>
      <c r="AG1148" s="35">
        <v>2022</v>
      </c>
      <c r="AH1148" s="36">
        <v>2022</v>
      </c>
      <c r="AT1148" s="21" t="e">
        <f t="shared" si="574"/>
        <v>#N/A</v>
      </c>
    </row>
    <row r="1149" spans="1:46" ht="61.5" x14ac:dyDescent="0.85">
      <c r="A1149" s="21">
        <v>1</v>
      </c>
      <c r="B1149" s="70">
        <f>SUBTOTAL(103,$A$896:A1149)</f>
        <v>203</v>
      </c>
      <c r="C1149" s="25" t="s">
        <v>106</v>
      </c>
      <c r="D1149" s="32">
        <f t="shared" si="582"/>
        <v>1289777.1900000002</v>
      </c>
      <c r="E1149" s="32">
        <v>0</v>
      </c>
      <c r="F1149" s="32">
        <v>0</v>
      </c>
      <c r="G1149" s="32">
        <v>0</v>
      </c>
      <c r="H1149" s="32">
        <v>0</v>
      </c>
      <c r="I1149" s="32">
        <v>0</v>
      </c>
      <c r="J1149" s="32">
        <v>0</v>
      </c>
      <c r="K1149" s="34">
        <v>0</v>
      </c>
      <c r="L1149" s="32">
        <v>0</v>
      </c>
      <c r="M1149" s="32">
        <v>247</v>
      </c>
      <c r="N1149" s="32">
        <v>1152489.8400000001</v>
      </c>
      <c r="O1149" s="32">
        <v>0</v>
      </c>
      <c r="P1149" s="32">
        <v>0</v>
      </c>
      <c r="Q1149" s="32">
        <v>0</v>
      </c>
      <c r="R1149" s="32">
        <v>0</v>
      </c>
      <c r="S1149" s="32">
        <v>0</v>
      </c>
      <c r="T1149" s="32">
        <v>0</v>
      </c>
      <c r="U1149" s="32">
        <v>0</v>
      </c>
      <c r="V1149" s="32">
        <v>0</v>
      </c>
      <c r="W1149" s="32">
        <v>0</v>
      </c>
      <c r="X1149" s="32">
        <v>0</v>
      </c>
      <c r="Y1149" s="32">
        <v>0</v>
      </c>
      <c r="Z1149" s="32">
        <v>0</v>
      </c>
      <c r="AA1149" s="32">
        <v>0</v>
      </c>
      <c r="AB1149" s="32">
        <v>0</v>
      </c>
      <c r="AC1149" s="32">
        <f t="shared" si="583"/>
        <v>17287.349999999999</v>
      </c>
      <c r="AD1149" s="32">
        <v>120000</v>
      </c>
      <c r="AE1149" s="32">
        <v>0</v>
      </c>
      <c r="AF1149" s="35">
        <v>2022</v>
      </c>
      <c r="AG1149" s="35">
        <v>2022</v>
      </c>
      <c r="AH1149" s="36">
        <v>2022</v>
      </c>
      <c r="AT1149" s="21" t="e">
        <f t="shared" si="574"/>
        <v>#N/A</v>
      </c>
    </row>
    <row r="1150" spans="1:46" ht="61.5" x14ac:dyDescent="0.85">
      <c r="B1150" s="25" t="s">
        <v>910</v>
      </c>
      <c r="C1150" s="110"/>
      <c r="D1150" s="32">
        <f>D1151+D1152+D1153</f>
        <v>6332416.4000000004</v>
      </c>
      <c r="E1150" s="32">
        <f t="shared" ref="E1150:AE1150" si="584">E1151+E1152+E1153</f>
        <v>0</v>
      </c>
      <c r="F1150" s="32">
        <f t="shared" si="584"/>
        <v>0</v>
      </c>
      <c r="G1150" s="32">
        <f t="shared" si="584"/>
        <v>0</v>
      </c>
      <c r="H1150" s="32">
        <f t="shared" si="584"/>
        <v>0</v>
      </c>
      <c r="I1150" s="32">
        <f t="shared" si="584"/>
        <v>0</v>
      </c>
      <c r="J1150" s="32">
        <f t="shared" si="584"/>
        <v>0</v>
      </c>
      <c r="K1150" s="34">
        <f t="shared" si="584"/>
        <v>0</v>
      </c>
      <c r="L1150" s="32">
        <f t="shared" si="584"/>
        <v>0</v>
      </c>
      <c r="M1150" s="32">
        <f t="shared" si="584"/>
        <v>696</v>
      </c>
      <c r="N1150" s="32">
        <f t="shared" si="584"/>
        <v>3349359.61</v>
      </c>
      <c r="O1150" s="32">
        <f t="shared" si="584"/>
        <v>0</v>
      </c>
      <c r="P1150" s="32">
        <f t="shared" si="584"/>
        <v>0</v>
      </c>
      <c r="Q1150" s="32">
        <f t="shared" si="584"/>
        <v>910</v>
      </c>
      <c r="R1150" s="32">
        <f t="shared" si="584"/>
        <v>2485533.4</v>
      </c>
      <c r="S1150" s="32">
        <f t="shared" si="584"/>
        <v>0</v>
      </c>
      <c r="T1150" s="32">
        <f t="shared" si="584"/>
        <v>0</v>
      </c>
      <c r="U1150" s="32">
        <f t="shared" si="584"/>
        <v>0</v>
      </c>
      <c r="V1150" s="32">
        <f t="shared" si="584"/>
        <v>0</v>
      </c>
      <c r="W1150" s="32">
        <f t="shared" si="584"/>
        <v>0</v>
      </c>
      <c r="X1150" s="32">
        <f t="shared" si="584"/>
        <v>0</v>
      </c>
      <c r="Y1150" s="32">
        <f t="shared" si="584"/>
        <v>0</v>
      </c>
      <c r="Z1150" s="32">
        <f t="shared" si="584"/>
        <v>0</v>
      </c>
      <c r="AA1150" s="32">
        <f t="shared" si="584"/>
        <v>0</v>
      </c>
      <c r="AB1150" s="32">
        <f t="shared" si="584"/>
        <v>0</v>
      </c>
      <c r="AC1150" s="32">
        <f t="shared" si="584"/>
        <v>87523.39</v>
      </c>
      <c r="AD1150" s="32">
        <f t="shared" si="584"/>
        <v>410000</v>
      </c>
      <c r="AE1150" s="32">
        <f t="shared" si="584"/>
        <v>0</v>
      </c>
      <c r="AF1150" s="113" t="s">
        <v>801</v>
      </c>
      <c r="AG1150" s="113" t="s">
        <v>801</v>
      </c>
      <c r="AH1150" s="114" t="s">
        <v>801</v>
      </c>
      <c r="AT1150" s="21" t="e">
        <f t="shared" si="574"/>
        <v>#N/A</v>
      </c>
    </row>
    <row r="1151" spans="1:46" ht="61.5" x14ac:dyDescent="0.85">
      <c r="A1151" s="21">
        <v>1</v>
      </c>
      <c r="B1151" s="70">
        <f>SUBTOTAL(103,$A$896:A1151)</f>
        <v>204</v>
      </c>
      <c r="C1151" s="25" t="s">
        <v>199</v>
      </c>
      <c r="D1151" s="32">
        <f t="shared" ref="D1151:D1153" si="585">E1151+F1151+G1151+H1151+I1151+J1151+L1151+N1151+P1151+R1151+T1151+U1151+V1151+W1151+X1151+Y1151+Z1151+AA1151+AB1151+AC1151+AD1151+AE1151</f>
        <v>3549600</v>
      </c>
      <c r="E1151" s="32">
        <v>0</v>
      </c>
      <c r="F1151" s="32">
        <v>0</v>
      </c>
      <c r="G1151" s="32">
        <v>0</v>
      </c>
      <c r="H1151" s="32">
        <v>0</v>
      </c>
      <c r="I1151" s="32">
        <v>0</v>
      </c>
      <c r="J1151" s="32">
        <v>0</v>
      </c>
      <c r="K1151" s="34">
        <v>0</v>
      </c>
      <c r="L1151" s="32">
        <v>0</v>
      </c>
      <c r="M1151" s="32">
        <v>696</v>
      </c>
      <c r="N1151" s="32">
        <v>3349359.61</v>
      </c>
      <c r="O1151" s="32">
        <v>0</v>
      </c>
      <c r="P1151" s="32">
        <v>0</v>
      </c>
      <c r="Q1151" s="32">
        <v>0</v>
      </c>
      <c r="R1151" s="32">
        <v>0</v>
      </c>
      <c r="S1151" s="32">
        <v>0</v>
      </c>
      <c r="T1151" s="32">
        <v>0</v>
      </c>
      <c r="U1151" s="32">
        <v>0</v>
      </c>
      <c r="V1151" s="32">
        <v>0</v>
      </c>
      <c r="W1151" s="32">
        <v>0</v>
      </c>
      <c r="X1151" s="32">
        <v>0</v>
      </c>
      <c r="Y1151" s="32">
        <v>0</v>
      </c>
      <c r="Z1151" s="32">
        <v>0</v>
      </c>
      <c r="AA1151" s="32">
        <v>0</v>
      </c>
      <c r="AB1151" s="32">
        <v>0</v>
      </c>
      <c r="AC1151" s="32">
        <f>ROUND(N1151*1.5%,2)</f>
        <v>50240.39</v>
      </c>
      <c r="AD1151" s="32">
        <v>150000</v>
      </c>
      <c r="AE1151" s="32">
        <v>0</v>
      </c>
      <c r="AF1151" s="35">
        <v>2022</v>
      </c>
      <c r="AG1151" s="35">
        <v>2022</v>
      </c>
      <c r="AH1151" s="36">
        <v>2022</v>
      </c>
      <c r="AT1151" s="21" t="e">
        <f t="shared" si="574"/>
        <v>#N/A</v>
      </c>
    </row>
    <row r="1152" spans="1:46" ht="61.5" x14ac:dyDescent="0.85">
      <c r="A1152" s="21">
        <v>1</v>
      </c>
      <c r="B1152" s="70">
        <f>SUBTOTAL(103,$A$896:A1152)</f>
        <v>205</v>
      </c>
      <c r="C1152" s="25" t="s">
        <v>200</v>
      </c>
      <c r="D1152" s="32">
        <f t="shared" si="585"/>
        <v>1391408.2</v>
      </c>
      <c r="E1152" s="32">
        <v>0</v>
      </c>
      <c r="F1152" s="32">
        <v>0</v>
      </c>
      <c r="G1152" s="32">
        <v>0</v>
      </c>
      <c r="H1152" s="32">
        <v>0</v>
      </c>
      <c r="I1152" s="32">
        <v>0</v>
      </c>
      <c r="J1152" s="32">
        <v>0</v>
      </c>
      <c r="K1152" s="34">
        <v>0</v>
      </c>
      <c r="L1152" s="32">
        <v>0</v>
      </c>
      <c r="M1152" s="32">
        <v>0</v>
      </c>
      <c r="N1152" s="32">
        <v>0</v>
      </c>
      <c r="O1152" s="32">
        <v>0</v>
      </c>
      <c r="P1152" s="32">
        <v>0</v>
      </c>
      <c r="Q1152" s="32">
        <v>455</v>
      </c>
      <c r="R1152" s="32">
        <v>1242766.7</v>
      </c>
      <c r="S1152" s="32">
        <v>0</v>
      </c>
      <c r="T1152" s="32">
        <v>0</v>
      </c>
      <c r="U1152" s="32">
        <v>0</v>
      </c>
      <c r="V1152" s="32">
        <v>0</v>
      </c>
      <c r="W1152" s="32">
        <v>0</v>
      </c>
      <c r="X1152" s="32">
        <v>0</v>
      </c>
      <c r="Y1152" s="32">
        <v>0</v>
      </c>
      <c r="Z1152" s="32">
        <v>0</v>
      </c>
      <c r="AA1152" s="32">
        <v>0</v>
      </c>
      <c r="AB1152" s="32">
        <v>0</v>
      </c>
      <c r="AC1152" s="32">
        <f t="shared" ref="AC1152:AC1153" si="586">ROUND(R1152*1.5%,2)</f>
        <v>18641.5</v>
      </c>
      <c r="AD1152" s="32">
        <v>130000</v>
      </c>
      <c r="AE1152" s="32">
        <v>0</v>
      </c>
      <c r="AF1152" s="35">
        <v>2022</v>
      </c>
      <c r="AG1152" s="35">
        <v>2022</v>
      </c>
      <c r="AH1152" s="36">
        <v>2022</v>
      </c>
      <c r="AT1152" s="21" t="e">
        <f t="shared" si="574"/>
        <v>#N/A</v>
      </c>
    </row>
    <row r="1153" spans="1:46" ht="61.5" x14ac:dyDescent="0.85">
      <c r="A1153" s="21">
        <v>1</v>
      </c>
      <c r="B1153" s="70">
        <f>SUBTOTAL(103,$A$896:A1153)</f>
        <v>206</v>
      </c>
      <c r="C1153" s="25" t="s">
        <v>201</v>
      </c>
      <c r="D1153" s="32">
        <f t="shared" si="585"/>
        <v>1391408.2</v>
      </c>
      <c r="E1153" s="32">
        <v>0</v>
      </c>
      <c r="F1153" s="32">
        <v>0</v>
      </c>
      <c r="G1153" s="32">
        <v>0</v>
      </c>
      <c r="H1153" s="32">
        <v>0</v>
      </c>
      <c r="I1153" s="32">
        <v>0</v>
      </c>
      <c r="J1153" s="32">
        <v>0</v>
      </c>
      <c r="K1153" s="34">
        <v>0</v>
      </c>
      <c r="L1153" s="32">
        <v>0</v>
      </c>
      <c r="M1153" s="32">
        <v>0</v>
      </c>
      <c r="N1153" s="32">
        <v>0</v>
      </c>
      <c r="O1153" s="32">
        <v>0</v>
      </c>
      <c r="P1153" s="32">
        <v>0</v>
      </c>
      <c r="Q1153" s="32">
        <v>455</v>
      </c>
      <c r="R1153" s="32">
        <v>1242766.7</v>
      </c>
      <c r="S1153" s="32">
        <v>0</v>
      </c>
      <c r="T1153" s="32">
        <v>0</v>
      </c>
      <c r="U1153" s="32">
        <v>0</v>
      </c>
      <c r="V1153" s="32">
        <v>0</v>
      </c>
      <c r="W1153" s="32">
        <v>0</v>
      </c>
      <c r="X1153" s="32">
        <v>0</v>
      </c>
      <c r="Y1153" s="32">
        <v>0</v>
      </c>
      <c r="Z1153" s="32">
        <v>0</v>
      </c>
      <c r="AA1153" s="32">
        <v>0</v>
      </c>
      <c r="AB1153" s="32">
        <v>0</v>
      </c>
      <c r="AC1153" s="32">
        <f t="shared" si="586"/>
        <v>18641.5</v>
      </c>
      <c r="AD1153" s="32">
        <v>130000</v>
      </c>
      <c r="AE1153" s="32">
        <v>0</v>
      </c>
      <c r="AF1153" s="35">
        <v>2022</v>
      </c>
      <c r="AG1153" s="35">
        <v>2022</v>
      </c>
      <c r="AH1153" s="36">
        <v>2022</v>
      </c>
      <c r="AT1153" s="21" t="e">
        <f t="shared" si="574"/>
        <v>#N/A</v>
      </c>
    </row>
    <row r="1154" spans="1:46" ht="61.5" x14ac:dyDescent="0.85">
      <c r="B1154" s="25" t="s">
        <v>911</v>
      </c>
      <c r="C1154" s="25"/>
      <c r="D1154" s="32">
        <f>D1155</f>
        <v>4686244.08</v>
      </c>
      <c r="E1154" s="32">
        <f t="shared" ref="E1154:AE1154" si="587">E1155</f>
        <v>0</v>
      </c>
      <c r="F1154" s="32">
        <f t="shared" si="587"/>
        <v>0</v>
      </c>
      <c r="G1154" s="32">
        <f t="shared" si="587"/>
        <v>0</v>
      </c>
      <c r="H1154" s="32">
        <f t="shared" si="587"/>
        <v>0</v>
      </c>
      <c r="I1154" s="32">
        <f t="shared" si="587"/>
        <v>0</v>
      </c>
      <c r="J1154" s="32">
        <f t="shared" si="587"/>
        <v>0</v>
      </c>
      <c r="K1154" s="34">
        <f t="shared" si="587"/>
        <v>0</v>
      </c>
      <c r="L1154" s="32">
        <f t="shared" si="587"/>
        <v>0</v>
      </c>
      <c r="M1154" s="32">
        <f t="shared" si="587"/>
        <v>720</v>
      </c>
      <c r="N1154" s="32">
        <f t="shared" si="587"/>
        <v>4488910.42</v>
      </c>
      <c r="O1154" s="32">
        <f t="shared" si="587"/>
        <v>0</v>
      </c>
      <c r="P1154" s="32">
        <f t="shared" si="587"/>
        <v>0</v>
      </c>
      <c r="Q1154" s="32">
        <f t="shared" si="587"/>
        <v>0</v>
      </c>
      <c r="R1154" s="32">
        <f t="shared" si="587"/>
        <v>0</v>
      </c>
      <c r="S1154" s="32">
        <f t="shared" si="587"/>
        <v>0</v>
      </c>
      <c r="T1154" s="32">
        <f t="shared" si="587"/>
        <v>0</v>
      </c>
      <c r="U1154" s="32">
        <f t="shared" si="587"/>
        <v>0</v>
      </c>
      <c r="V1154" s="32">
        <f t="shared" si="587"/>
        <v>0</v>
      </c>
      <c r="W1154" s="32">
        <f t="shared" si="587"/>
        <v>0</v>
      </c>
      <c r="X1154" s="32">
        <f t="shared" si="587"/>
        <v>0</v>
      </c>
      <c r="Y1154" s="32">
        <f t="shared" si="587"/>
        <v>0</v>
      </c>
      <c r="Z1154" s="32">
        <f t="shared" si="587"/>
        <v>0</v>
      </c>
      <c r="AA1154" s="32">
        <f t="shared" si="587"/>
        <v>0</v>
      </c>
      <c r="AB1154" s="32">
        <f t="shared" si="587"/>
        <v>0</v>
      </c>
      <c r="AC1154" s="32">
        <f t="shared" si="587"/>
        <v>67333.66</v>
      </c>
      <c r="AD1154" s="32">
        <f t="shared" si="587"/>
        <v>130000</v>
      </c>
      <c r="AE1154" s="32">
        <f t="shared" si="587"/>
        <v>0</v>
      </c>
      <c r="AF1154" s="113" t="s">
        <v>801</v>
      </c>
      <c r="AG1154" s="113" t="s">
        <v>801</v>
      </c>
      <c r="AH1154" s="114" t="s">
        <v>801</v>
      </c>
      <c r="AT1154" s="21" t="e">
        <f t="shared" si="574"/>
        <v>#N/A</v>
      </c>
    </row>
    <row r="1155" spans="1:46" ht="61.5" x14ac:dyDescent="0.85">
      <c r="A1155" s="21">
        <v>1</v>
      </c>
      <c r="B1155" s="70">
        <f>SUBTOTAL(103,$A$896:A1155)</f>
        <v>207</v>
      </c>
      <c r="C1155" s="25" t="s">
        <v>1475</v>
      </c>
      <c r="D1155" s="32">
        <f t="shared" ref="D1155" si="588">E1155+F1155+G1155+H1155+I1155+J1155+L1155+N1155+P1155+R1155+T1155+U1155+V1155+W1155+X1155+Y1155+Z1155+AA1155+AB1155+AC1155+AD1155+AE1155</f>
        <v>4686244.08</v>
      </c>
      <c r="E1155" s="32">
        <v>0</v>
      </c>
      <c r="F1155" s="32">
        <v>0</v>
      </c>
      <c r="G1155" s="32">
        <v>0</v>
      </c>
      <c r="H1155" s="32">
        <v>0</v>
      </c>
      <c r="I1155" s="32">
        <v>0</v>
      </c>
      <c r="J1155" s="32">
        <v>0</v>
      </c>
      <c r="K1155" s="34">
        <v>0</v>
      </c>
      <c r="L1155" s="32">
        <v>0</v>
      </c>
      <c r="M1155" s="32">
        <v>720</v>
      </c>
      <c r="N1155" s="32">
        <f>2853393.18+1635517.24</f>
        <v>4488910.42</v>
      </c>
      <c r="O1155" s="32">
        <v>0</v>
      </c>
      <c r="P1155" s="32">
        <v>0</v>
      </c>
      <c r="Q1155" s="32">
        <v>0</v>
      </c>
      <c r="R1155" s="32">
        <v>0</v>
      </c>
      <c r="S1155" s="32">
        <v>0</v>
      </c>
      <c r="T1155" s="32">
        <v>0</v>
      </c>
      <c r="U1155" s="32">
        <v>0</v>
      </c>
      <c r="V1155" s="32">
        <v>0</v>
      </c>
      <c r="W1155" s="32">
        <v>0</v>
      </c>
      <c r="X1155" s="32">
        <v>0</v>
      </c>
      <c r="Y1155" s="32">
        <v>0</v>
      </c>
      <c r="Z1155" s="32">
        <v>0</v>
      </c>
      <c r="AA1155" s="32">
        <v>0</v>
      </c>
      <c r="AB1155" s="32">
        <v>0</v>
      </c>
      <c r="AC1155" s="32">
        <f>ROUND(N1155*1.5%,2)</f>
        <v>67333.66</v>
      </c>
      <c r="AD1155" s="32">
        <v>130000</v>
      </c>
      <c r="AE1155" s="32">
        <v>0</v>
      </c>
      <c r="AF1155" s="35">
        <v>2022</v>
      </c>
      <c r="AG1155" s="35">
        <v>2022</v>
      </c>
      <c r="AH1155" s="36">
        <v>2022</v>
      </c>
      <c r="AT1155" s="21" t="e">
        <f t="shared" si="574"/>
        <v>#N/A</v>
      </c>
    </row>
    <row r="1156" spans="1:46" ht="61.5" x14ac:dyDescent="0.85">
      <c r="B1156" s="25" t="s">
        <v>913</v>
      </c>
      <c r="C1156" s="25"/>
      <c r="D1156" s="32">
        <f>D1157</f>
        <v>3600600</v>
      </c>
      <c r="E1156" s="32">
        <f t="shared" ref="E1156:AE1156" si="589">E1157</f>
        <v>0</v>
      </c>
      <c r="F1156" s="32">
        <f t="shared" si="589"/>
        <v>0</v>
      </c>
      <c r="G1156" s="32">
        <f t="shared" si="589"/>
        <v>0</v>
      </c>
      <c r="H1156" s="32">
        <f t="shared" si="589"/>
        <v>0</v>
      </c>
      <c r="I1156" s="32">
        <f t="shared" si="589"/>
        <v>0</v>
      </c>
      <c r="J1156" s="32">
        <f t="shared" si="589"/>
        <v>0</v>
      </c>
      <c r="K1156" s="34">
        <f t="shared" si="589"/>
        <v>0</v>
      </c>
      <c r="L1156" s="32">
        <f t="shared" si="589"/>
        <v>0</v>
      </c>
      <c r="M1156" s="32">
        <f t="shared" si="589"/>
        <v>351</v>
      </c>
      <c r="N1156" s="32">
        <f t="shared" si="589"/>
        <v>1731597.04</v>
      </c>
      <c r="O1156" s="32">
        <f t="shared" si="589"/>
        <v>0</v>
      </c>
      <c r="P1156" s="32">
        <f t="shared" si="589"/>
        <v>0</v>
      </c>
      <c r="Q1156" s="32">
        <f t="shared" si="589"/>
        <v>333.4</v>
      </c>
      <c r="R1156" s="32">
        <f t="shared" si="589"/>
        <v>1668008.8699999999</v>
      </c>
      <c r="S1156" s="32">
        <f t="shared" si="589"/>
        <v>0</v>
      </c>
      <c r="T1156" s="32">
        <f t="shared" si="589"/>
        <v>0</v>
      </c>
      <c r="U1156" s="32">
        <f t="shared" si="589"/>
        <v>0</v>
      </c>
      <c r="V1156" s="32">
        <f t="shared" si="589"/>
        <v>0</v>
      </c>
      <c r="W1156" s="32">
        <f t="shared" si="589"/>
        <v>0</v>
      </c>
      <c r="X1156" s="32">
        <f t="shared" si="589"/>
        <v>0</v>
      </c>
      <c r="Y1156" s="32">
        <f t="shared" si="589"/>
        <v>0</v>
      </c>
      <c r="Z1156" s="32">
        <f t="shared" si="589"/>
        <v>0</v>
      </c>
      <c r="AA1156" s="32">
        <f t="shared" si="589"/>
        <v>0</v>
      </c>
      <c r="AB1156" s="32">
        <f t="shared" si="589"/>
        <v>0</v>
      </c>
      <c r="AC1156" s="32">
        <f t="shared" si="589"/>
        <v>50994.09</v>
      </c>
      <c r="AD1156" s="32">
        <f t="shared" si="589"/>
        <v>150000</v>
      </c>
      <c r="AE1156" s="32">
        <f t="shared" si="589"/>
        <v>0</v>
      </c>
      <c r="AF1156" s="113" t="s">
        <v>801</v>
      </c>
      <c r="AG1156" s="113" t="s">
        <v>801</v>
      </c>
      <c r="AH1156" s="114" t="s">
        <v>801</v>
      </c>
      <c r="AT1156" s="21" t="e">
        <f t="shared" si="574"/>
        <v>#N/A</v>
      </c>
    </row>
    <row r="1157" spans="1:46" ht="61.5" x14ac:dyDescent="0.85">
      <c r="A1157" s="21">
        <v>1</v>
      </c>
      <c r="B1157" s="70">
        <f>SUBTOTAL(103,$A$896:A1157)</f>
        <v>208</v>
      </c>
      <c r="C1157" s="25" t="s">
        <v>845</v>
      </c>
      <c r="D1157" s="32">
        <f t="shared" ref="D1157" si="590">E1157+F1157+G1157+H1157+I1157+J1157+L1157+N1157+P1157+R1157+T1157+U1157+V1157+W1157+X1157+Y1157+Z1157+AA1157+AB1157+AC1157+AD1157+AE1157</f>
        <v>3600600</v>
      </c>
      <c r="E1157" s="32">
        <v>0</v>
      </c>
      <c r="F1157" s="32">
        <v>0</v>
      </c>
      <c r="G1157" s="32">
        <v>0</v>
      </c>
      <c r="H1157" s="32">
        <v>0</v>
      </c>
      <c r="I1157" s="32">
        <v>0</v>
      </c>
      <c r="J1157" s="32">
        <v>0</v>
      </c>
      <c r="K1157" s="34">
        <v>0</v>
      </c>
      <c r="L1157" s="32">
        <v>0</v>
      </c>
      <c r="M1157" s="32">
        <v>351</v>
      </c>
      <c r="N1157" s="32">
        <v>1731597.04</v>
      </c>
      <c r="O1157" s="32">
        <v>0</v>
      </c>
      <c r="P1157" s="32">
        <v>0</v>
      </c>
      <c r="Q1157" s="32">
        <v>333.4</v>
      </c>
      <c r="R1157" s="32">
        <v>1668008.8699999999</v>
      </c>
      <c r="S1157" s="32">
        <v>0</v>
      </c>
      <c r="T1157" s="32">
        <v>0</v>
      </c>
      <c r="U1157" s="32">
        <v>0</v>
      </c>
      <c r="V1157" s="32">
        <v>0</v>
      </c>
      <c r="W1157" s="32">
        <v>0</v>
      </c>
      <c r="X1157" s="32">
        <v>0</v>
      </c>
      <c r="Y1157" s="32">
        <v>0</v>
      </c>
      <c r="Z1157" s="32">
        <v>0</v>
      </c>
      <c r="AA1157" s="32">
        <v>0</v>
      </c>
      <c r="AB1157" s="32">
        <v>0</v>
      </c>
      <c r="AC1157" s="32">
        <f>ROUND((N1157+R1157)*1.5%,2)</f>
        <v>50994.09</v>
      </c>
      <c r="AD1157" s="32">
        <v>150000</v>
      </c>
      <c r="AE1157" s="32">
        <v>0</v>
      </c>
      <c r="AF1157" s="35">
        <v>2022</v>
      </c>
      <c r="AG1157" s="35">
        <v>2022</v>
      </c>
      <c r="AH1157" s="36">
        <v>2022</v>
      </c>
      <c r="AT1157" s="21" t="e">
        <f t="shared" si="574"/>
        <v>#N/A</v>
      </c>
    </row>
    <row r="1158" spans="1:46" ht="61.5" x14ac:dyDescent="0.85">
      <c r="B1158" s="25" t="s">
        <v>932</v>
      </c>
      <c r="C1158" s="25"/>
      <c r="D1158" s="32">
        <f>D1159</f>
        <v>2233993.96</v>
      </c>
      <c r="E1158" s="32">
        <f t="shared" ref="E1158:AE1158" si="591">E1159</f>
        <v>0</v>
      </c>
      <c r="F1158" s="32">
        <f t="shared" si="591"/>
        <v>0</v>
      </c>
      <c r="G1158" s="32">
        <f t="shared" si="591"/>
        <v>0</v>
      </c>
      <c r="H1158" s="32">
        <f t="shared" si="591"/>
        <v>0</v>
      </c>
      <c r="I1158" s="32">
        <f t="shared" si="591"/>
        <v>0</v>
      </c>
      <c r="J1158" s="32">
        <f t="shared" si="591"/>
        <v>0</v>
      </c>
      <c r="K1158" s="34">
        <f t="shared" si="591"/>
        <v>0</v>
      </c>
      <c r="L1158" s="32">
        <f t="shared" si="591"/>
        <v>0</v>
      </c>
      <c r="M1158" s="32">
        <f t="shared" si="591"/>
        <v>376</v>
      </c>
      <c r="N1158" s="32">
        <f t="shared" si="591"/>
        <v>2082752.67</v>
      </c>
      <c r="O1158" s="32">
        <f t="shared" si="591"/>
        <v>0</v>
      </c>
      <c r="P1158" s="32">
        <f t="shared" si="591"/>
        <v>0</v>
      </c>
      <c r="Q1158" s="32">
        <f t="shared" si="591"/>
        <v>0</v>
      </c>
      <c r="R1158" s="32">
        <f t="shared" si="591"/>
        <v>0</v>
      </c>
      <c r="S1158" s="32">
        <f t="shared" si="591"/>
        <v>0</v>
      </c>
      <c r="T1158" s="32">
        <f t="shared" si="591"/>
        <v>0</v>
      </c>
      <c r="U1158" s="32">
        <f t="shared" si="591"/>
        <v>0</v>
      </c>
      <c r="V1158" s="32">
        <f t="shared" si="591"/>
        <v>0</v>
      </c>
      <c r="W1158" s="32">
        <f t="shared" si="591"/>
        <v>0</v>
      </c>
      <c r="X1158" s="32">
        <f t="shared" si="591"/>
        <v>0</v>
      </c>
      <c r="Y1158" s="32">
        <f t="shared" si="591"/>
        <v>0</v>
      </c>
      <c r="Z1158" s="32">
        <f t="shared" si="591"/>
        <v>0</v>
      </c>
      <c r="AA1158" s="32">
        <f t="shared" si="591"/>
        <v>0</v>
      </c>
      <c r="AB1158" s="32">
        <f t="shared" si="591"/>
        <v>0</v>
      </c>
      <c r="AC1158" s="32">
        <f t="shared" si="591"/>
        <v>31241.29</v>
      </c>
      <c r="AD1158" s="32">
        <f t="shared" si="591"/>
        <v>120000</v>
      </c>
      <c r="AE1158" s="32">
        <f t="shared" si="591"/>
        <v>0</v>
      </c>
      <c r="AF1158" s="113" t="s">
        <v>801</v>
      </c>
      <c r="AG1158" s="113" t="s">
        <v>801</v>
      </c>
      <c r="AH1158" s="114" t="s">
        <v>801</v>
      </c>
      <c r="AT1158" s="21" t="e">
        <f t="shared" si="574"/>
        <v>#N/A</v>
      </c>
    </row>
    <row r="1159" spans="1:46" ht="61.5" x14ac:dyDescent="0.85">
      <c r="A1159" s="21">
        <v>1</v>
      </c>
      <c r="B1159" s="70">
        <f>SUBTOTAL(103,$A$896:A1159)</f>
        <v>209</v>
      </c>
      <c r="C1159" s="25" t="s">
        <v>202</v>
      </c>
      <c r="D1159" s="32">
        <f t="shared" ref="D1159" si="592">E1159+F1159+G1159+H1159+I1159+J1159+L1159+N1159+P1159+R1159+T1159+U1159+V1159+W1159+X1159+Y1159+Z1159+AA1159+AB1159+AC1159+AD1159+AE1159</f>
        <v>2233993.96</v>
      </c>
      <c r="E1159" s="32">
        <v>0</v>
      </c>
      <c r="F1159" s="32">
        <v>0</v>
      </c>
      <c r="G1159" s="32">
        <v>0</v>
      </c>
      <c r="H1159" s="32">
        <v>0</v>
      </c>
      <c r="I1159" s="32">
        <v>0</v>
      </c>
      <c r="J1159" s="32">
        <v>0</v>
      </c>
      <c r="K1159" s="34">
        <v>0</v>
      </c>
      <c r="L1159" s="32">
        <v>0</v>
      </c>
      <c r="M1159" s="32">
        <v>376</v>
      </c>
      <c r="N1159" s="32">
        <f>1771034.48+311718.19</f>
        <v>2082752.67</v>
      </c>
      <c r="O1159" s="32">
        <v>0</v>
      </c>
      <c r="P1159" s="32">
        <v>0</v>
      </c>
      <c r="Q1159" s="32">
        <v>0</v>
      </c>
      <c r="R1159" s="32">
        <v>0</v>
      </c>
      <c r="S1159" s="32">
        <v>0</v>
      </c>
      <c r="T1159" s="32">
        <v>0</v>
      </c>
      <c r="U1159" s="32">
        <v>0</v>
      </c>
      <c r="V1159" s="32">
        <v>0</v>
      </c>
      <c r="W1159" s="32">
        <v>0</v>
      </c>
      <c r="X1159" s="32">
        <v>0</v>
      </c>
      <c r="Y1159" s="32">
        <v>0</v>
      </c>
      <c r="Z1159" s="32">
        <v>0</v>
      </c>
      <c r="AA1159" s="32">
        <v>0</v>
      </c>
      <c r="AB1159" s="32">
        <v>0</v>
      </c>
      <c r="AC1159" s="32">
        <f>ROUND(N1159*1.5%,2)</f>
        <v>31241.29</v>
      </c>
      <c r="AD1159" s="32">
        <v>120000</v>
      </c>
      <c r="AE1159" s="32">
        <v>0</v>
      </c>
      <c r="AF1159" s="35">
        <v>2022</v>
      </c>
      <c r="AG1159" s="35">
        <v>2022</v>
      </c>
      <c r="AH1159" s="36">
        <v>2022</v>
      </c>
      <c r="AT1159" s="21" t="e">
        <f t="shared" si="574"/>
        <v>#N/A</v>
      </c>
    </row>
    <row r="1160" spans="1:46" ht="61.5" x14ac:dyDescent="0.85">
      <c r="B1160" s="25" t="s">
        <v>914</v>
      </c>
      <c r="C1160" s="110"/>
      <c r="D1160" s="32">
        <f>SUM(D1161:D1163)</f>
        <v>14392200</v>
      </c>
      <c r="E1160" s="32">
        <f t="shared" ref="E1160:AE1160" si="593">SUM(E1161:E1163)</f>
        <v>0</v>
      </c>
      <c r="F1160" s="32">
        <f t="shared" si="593"/>
        <v>0</v>
      </c>
      <c r="G1160" s="32">
        <f t="shared" si="593"/>
        <v>0</v>
      </c>
      <c r="H1160" s="32">
        <f t="shared" si="593"/>
        <v>0</v>
      </c>
      <c r="I1160" s="32">
        <f t="shared" si="593"/>
        <v>0</v>
      </c>
      <c r="J1160" s="32">
        <f t="shared" si="593"/>
        <v>0</v>
      </c>
      <c r="K1160" s="34">
        <f t="shared" si="593"/>
        <v>0</v>
      </c>
      <c r="L1160" s="32">
        <f t="shared" si="593"/>
        <v>0</v>
      </c>
      <c r="M1160" s="32">
        <f t="shared" si="593"/>
        <v>2822</v>
      </c>
      <c r="N1160" s="32">
        <f t="shared" si="593"/>
        <v>13706600.99</v>
      </c>
      <c r="O1160" s="32">
        <f t="shared" si="593"/>
        <v>0</v>
      </c>
      <c r="P1160" s="32">
        <f t="shared" si="593"/>
        <v>0</v>
      </c>
      <c r="Q1160" s="32">
        <f t="shared" si="593"/>
        <v>0</v>
      </c>
      <c r="R1160" s="32">
        <f t="shared" si="593"/>
        <v>0</v>
      </c>
      <c r="S1160" s="32">
        <f t="shared" si="593"/>
        <v>0</v>
      </c>
      <c r="T1160" s="32">
        <f t="shared" si="593"/>
        <v>0</v>
      </c>
      <c r="U1160" s="32">
        <f t="shared" si="593"/>
        <v>0</v>
      </c>
      <c r="V1160" s="32">
        <f t="shared" si="593"/>
        <v>0</v>
      </c>
      <c r="W1160" s="32">
        <f t="shared" si="593"/>
        <v>0</v>
      </c>
      <c r="X1160" s="32">
        <f t="shared" si="593"/>
        <v>0</v>
      </c>
      <c r="Y1160" s="32">
        <f t="shared" si="593"/>
        <v>0</v>
      </c>
      <c r="Z1160" s="32">
        <f t="shared" si="593"/>
        <v>0</v>
      </c>
      <c r="AA1160" s="32">
        <f t="shared" si="593"/>
        <v>0</v>
      </c>
      <c r="AB1160" s="32">
        <f t="shared" si="593"/>
        <v>0</v>
      </c>
      <c r="AC1160" s="32">
        <f t="shared" si="593"/>
        <v>205599.01</v>
      </c>
      <c r="AD1160" s="32">
        <f t="shared" si="593"/>
        <v>480000</v>
      </c>
      <c r="AE1160" s="32">
        <f t="shared" si="593"/>
        <v>0</v>
      </c>
      <c r="AF1160" s="113" t="s">
        <v>801</v>
      </c>
      <c r="AG1160" s="113" t="s">
        <v>801</v>
      </c>
      <c r="AH1160" s="114" t="s">
        <v>801</v>
      </c>
      <c r="AT1160" s="21" t="e">
        <f t="shared" si="574"/>
        <v>#N/A</v>
      </c>
    </row>
    <row r="1161" spans="1:46" ht="61.5" x14ac:dyDescent="0.85">
      <c r="A1161" s="21">
        <v>1</v>
      </c>
      <c r="B1161" s="70">
        <f>SUBTOTAL(103,$A$896:A1161)</f>
        <v>210</v>
      </c>
      <c r="C1161" s="25" t="s">
        <v>219</v>
      </c>
      <c r="D1161" s="32">
        <f t="shared" ref="D1161:D1163" si="594">E1161+F1161+G1161+H1161+I1161+J1161+L1161+N1161+P1161+R1161+T1161+U1161+V1161+W1161+X1161+Y1161+Z1161+AA1161+AB1161+AC1161+AD1161+AE1161</f>
        <v>6002700</v>
      </c>
      <c r="E1161" s="32">
        <v>0</v>
      </c>
      <c r="F1161" s="32">
        <v>0</v>
      </c>
      <c r="G1161" s="32">
        <v>0</v>
      </c>
      <c r="H1161" s="32">
        <v>0</v>
      </c>
      <c r="I1161" s="32">
        <v>0</v>
      </c>
      <c r="J1161" s="32">
        <v>0</v>
      </c>
      <c r="K1161" s="34">
        <v>0</v>
      </c>
      <c r="L1161" s="32">
        <v>0</v>
      </c>
      <c r="M1161" s="32">
        <v>1177</v>
      </c>
      <c r="N1161" s="32">
        <v>5736650.25</v>
      </c>
      <c r="O1161" s="32">
        <v>0</v>
      </c>
      <c r="P1161" s="32">
        <v>0</v>
      </c>
      <c r="Q1161" s="32">
        <v>0</v>
      </c>
      <c r="R1161" s="32">
        <v>0</v>
      </c>
      <c r="S1161" s="32">
        <v>0</v>
      </c>
      <c r="T1161" s="32">
        <v>0</v>
      </c>
      <c r="U1161" s="32">
        <v>0</v>
      </c>
      <c r="V1161" s="32">
        <v>0</v>
      </c>
      <c r="W1161" s="32">
        <v>0</v>
      </c>
      <c r="X1161" s="32">
        <v>0</v>
      </c>
      <c r="Y1161" s="32">
        <v>0</v>
      </c>
      <c r="Z1161" s="32">
        <v>0</v>
      </c>
      <c r="AA1161" s="32">
        <v>0</v>
      </c>
      <c r="AB1161" s="32">
        <v>0</v>
      </c>
      <c r="AC1161" s="32">
        <f t="shared" ref="AC1161:AC1163" si="595">ROUND(N1161*1.5%,2)</f>
        <v>86049.75</v>
      </c>
      <c r="AD1161" s="32">
        <v>180000</v>
      </c>
      <c r="AE1161" s="32">
        <v>0</v>
      </c>
      <c r="AF1161" s="35">
        <v>2022</v>
      </c>
      <c r="AG1161" s="35">
        <v>2022</v>
      </c>
      <c r="AH1161" s="36">
        <v>2022</v>
      </c>
      <c r="AT1161" s="21" t="e">
        <f t="shared" si="574"/>
        <v>#N/A</v>
      </c>
    </row>
    <row r="1162" spans="1:46" ht="61.5" x14ac:dyDescent="0.85">
      <c r="A1162" s="21">
        <v>1</v>
      </c>
      <c r="B1162" s="70">
        <f>SUBTOTAL(103,$A$896:A1162)</f>
        <v>211</v>
      </c>
      <c r="C1162" s="25" t="s">
        <v>220</v>
      </c>
      <c r="D1162" s="32">
        <f t="shared" si="594"/>
        <v>4059600</v>
      </c>
      <c r="E1162" s="32">
        <v>0</v>
      </c>
      <c r="F1162" s="32">
        <v>0</v>
      </c>
      <c r="G1162" s="32">
        <v>0</v>
      </c>
      <c r="H1162" s="32">
        <v>0</v>
      </c>
      <c r="I1162" s="32">
        <v>0</v>
      </c>
      <c r="J1162" s="32">
        <v>0</v>
      </c>
      <c r="K1162" s="34">
        <v>0</v>
      </c>
      <c r="L1162" s="32">
        <v>0</v>
      </c>
      <c r="M1162" s="32">
        <v>796</v>
      </c>
      <c r="N1162" s="32">
        <v>3851822.66</v>
      </c>
      <c r="O1162" s="32">
        <v>0</v>
      </c>
      <c r="P1162" s="32">
        <v>0</v>
      </c>
      <c r="Q1162" s="32">
        <v>0</v>
      </c>
      <c r="R1162" s="32">
        <v>0</v>
      </c>
      <c r="S1162" s="32">
        <v>0</v>
      </c>
      <c r="T1162" s="32">
        <v>0</v>
      </c>
      <c r="U1162" s="32">
        <v>0</v>
      </c>
      <c r="V1162" s="32">
        <v>0</v>
      </c>
      <c r="W1162" s="32">
        <v>0</v>
      </c>
      <c r="X1162" s="32">
        <v>0</v>
      </c>
      <c r="Y1162" s="32">
        <v>0</v>
      </c>
      <c r="Z1162" s="32">
        <v>0</v>
      </c>
      <c r="AA1162" s="32">
        <v>0</v>
      </c>
      <c r="AB1162" s="32">
        <v>0</v>
      </c>
      <c r="AC1162" s="32">
        <f t="shared" si="595"/>
        <v>57777.34</v>
      </c>
      <c r="AD1162" s="32">
        <v>150000</v>
      </c>
      <c r="AE1162" s="32">
        <v>0</v>
      </c>
      <c r="AF1162" s="35">
        <v>2022</v>
      </c>
      <c r="AG1162" s="35">
        <v>2022</v>
      </c>
      <c r="AH1162" s="36">
        <v>2022</v>
      </c>
      <c r="AT1162" s="21" t="e">
        <f t="shared" si="574"/>
        <v>#N/A</v>
      </c>
    </row>
    <row r="1163" spans="1:46" ht="61.5" x14ac:dyDescent="0.85">
      <c r="A1163" s="21">
        <v>1</v>
      </c>
      <c r="B1163" s="70">
        <f>SUBTOTAL(103,$A$896:A1163)</f>
        <v>212</v>
      </c>
      <c r="C1163" s="25" t="s">
        <v>221</v>
      </c>
      <c r="D1163" s="32">
        <f t="shared" si="594"/>
        <v>4329900</v>
      </c>
      <c r="E1163" s="32">
        <v>0</v>
      </c>
      <c r="F1163" s="32">
        <v>0</v>
      </c>
      <c r="G1163" s="32">
        <v>0</v>
      </c>
      <c r="H1163" s="32">
        <v>0</v>
      </c>
      <c r="I1163" s="32">
        <v>0</v>
      </c>
      <c r="J1163" s="32">
        <v>0</v>
      </c>
      <c r="K1163" s="34">
        <v>0</v>
      </c>
      <c r="L1163" s="32">
        <v>0</v>
      </c>
      <c r="M1163" s="32">
        <v>849</v>
      </c>
      <c r="N1163" s="32">
        <v>4118128.08</v>
      </c>
      <c r="O1163" s="32">
        <v>0</v>
      </c>
      <c r="P1163" s="32">
        <v>0</v>
      </c>
      <c r="Q1163" s="32">
        <v>0</v>
      </c>
      <c r="R1163" s="32">
        <v>0</v>
      </c>
      <c r="S1163" s="32">
        <v>0</v>
      </c>
      <c r="T1163" s="32">
        <v>0</v>
      </c>
      <c r="U1163" s="32">
        <v>0</v>
      </c>
      <c r="V1163" s="32">
        <v>0</v>
      </c>
      <c r="W1163" s="32">
        <v>0</v>
      </c>
      <c r="X1163" s="32">
        <v>0</v>
      </c>
      <c r="Y1163" s="32">
        <v>0</v>
      </c>
      <c r="Z1163" s="32">
        <v>0</v>
      </c>
      <c r="AA1163" s="32">
        <v>0</v>
      </c>
      <c r="AB1163" s="32">
        <v>0</v>
      </c>
      <c r="AC1163" s="32">
        <f t="shared" si="595"/>
        <v>61771.92</v>
      </c>
      <c r="AD1163" s="32">
        <v>150000</v>
      </c>
      <c r="AE1163" s="32">
        <v>0</v>
      </c>
      <c r="AF1163" s="35">
        <v>2022</v>
      </c>
      <c r="AG1163" s="35">
        <v>2022</v>
      </c>
      <c r="AH1163" s="36">
        <v>2022</v>
      </c>
      <c r="AT1163" s="21" t="e">
        <f t="shared" si="574"/>
        <v>#N/A</v>
      </c>
    </row>
    <row r="1164" spans="1:46" ht="61.5" x14ac:dyDescent="0.85">
      <c r="B1164" s="25" t="s">
        <v>915</v>
      </c>
      <c r="C1164" s="25"/>
      <c r="D1164" s="32">
        <f>D1165</f>
        <v>3396600</v>
      </c>
      <c r="E1164" s="32">
        <f t="shared" ref="E1164:AE1164" si="596">E1165</f>
        <v>0</v>
      </c>
      <c r="F1164" s="32">
        <f t="shared" si="596"/>
        <v>0</v>
      </c>
      <c r="G1164" s="32">
        <f t="shared" si="596"/>
        <v>0</v>
      </c>
      <c r="H1164" s="32">
        <f t="shared" si="596"/>
        <v>0</v>
      </c>
      <c r="I1164" s="32">
        <f t="shared" si="596"/>
        <v>0</v>
      </c>
      <c r="J1164" s="32">
        <f t="shared" si="596"/>
        <v>0</v>
      </c>
      <c r="K1164" s="34">
        <f t="shared" si="596"/>
        <v>0</v>
      </c>
      <c r="L1164" s="32">
        <f t="shared" si="596"/>
        <v>0</v>
      </c>
      <c r="M1164" s="32">
        <f t="shared" si="596"/>
        <v>666</v>
      </c>
      <c r="N1164" s="32">
        <f t="shared" si="596"/>
        <v>3198620.69</v>
      </c>
      <c r="O1164" s="32">
        <f t="shared" si="596"/>
        <v>0</v>
      </c>
      <c r="P1164" s="32">
        <f t="shared" si="596"/>
        <v>0</v>
      </c>
      <c r="Q1164" s="32">
        <f t="shared" si="596"/>
        <v>0</v>
      </c>
      <c r="R1164" s="32">
        <f t="shared" si="596"/>
        <v>0</v>
      </c>
      <c r="S1164" s="32">
        <f t="shared" si="596"/>
        <v>0</v>
      </c>
      <c r="T1164" s="32">
        <f t="shared" si="596"/>
        <v>0</v>
      </c>
      <c r="U1164" s="32">
        <f t="shared" si="596"/>
        <v>0</v>
      </c>
      <c r="V1164" s="32">
        <f t="shared" si="596"/>
        <v>0</v>
      </c>
      <c r="W1164" s="32">
        <f t="shared" si="596"/>
        <v>0</v>
      </c>
      <c r="X1164" s="32">
        <f t="shared" si="596"/>
        <v>0</v>
      </c>
      <c r="Y1164" s="32">
        <f t="shared" si="596"/>
        <v>0</v>
      </c>
      <c r="Z1164" s="32">
        <f t="shared" si="596"/>
        <v>0</v>
      </c>
      <c r="AA1164" s="32">
        <f t="shared" si="596"/>
        <v>0</v>
      </c>
      <c r="AB1164" s="32">
        <f t="shared" si="596"/>
        <v>0</v>
      </c>
      <c r="AC1164" s="32">
        <f t="shared" si="596"/>
        <v>47979.31</v>
      </c>
      <c r="AD1164" s="32">
        <f t="shared" si="596"/>
        <v>150000</v>
      </c>
      <c r="AE1164" s="32">
        <f t="shared" si="596"/>
        <v>0</v>
      </c>
      <c r="AF1164" s="113" t="s">
        <v>801</v>
      </c>
      <c r="AG1164" s="113" t="s">
        <v>801</v>
      </c>
      <c r="AH1164" s="114" t="s">
        <v>801</v>
      </c>
      <c r="AT1164" s="21" t="e">
        <f t="shared" si="574"/>
        <v>#N/A</v>
      </c>
    </row>
    <row r="1165" spans="1:46" ht="61.5" x14ac:dyDescent="0.85">
      <c r="A1165" s="21">
        <v>1</v>
      </c>
      <c r="B1165" s="70">
        <f>SUBTOTAL(103,$A$896:A1165)</f>
        <v>213</v>
      </c>
      <c r="C1165" s="25" t="s">
        <v>227</v>
      </c>
      <c r="D1165" s="32">
        <f t="shared" ref="D1165" si="597">E1165+F1165+G1165+H1165+I1165+J1165+L1165+N1165+P1165+R1165+T1165+U1165+V1165+W1165+X1165+Y1165+Z1165+AA1165+AB1165+AC1165+AD1165+AE1165</f>
        <v>3396600</v>
      </c>
      <c r="E1165" s="32">
        <v>0</v>
      </c>
      <c r="F1165" s="32">
        <v>0</v>
      </c>
      <c r="G1165" s="32">
        <v>0</v>
      </c>
      <c r="H1165" s="32">
        <v>0</v>
      </c>
      <c r="I1165" s="32">
        <v>0</v>
      </c>
      <c r="J1165" s="32">
        <v>0</v>
      </c>
      <c r="K1165" s="34">
        <v>0</v>
      </c>
      <c r="L1165" s="32">
        <v>0</v>
      </c>
      <c r="M1165" s="32">
        <v>666</v>
      </c>
      <c r="N1165" s="32">
        <v>3198620.69</v>
      </c>
      <c r="O1165" s="32">
        <v>0</v>
      </c>
      <c r="P1165" s="32">
        <v>0</v>
      </c>
      <c r="Q1165" s="32">
        <v>0</v>
      </c>
      <c r="R1165" s="32">
        <v>0</v>
      </c>
      <c r="S1165" s="32">
        <v>0</v>
      </c>
      <c r="T1165" s="32">
        <v>0</v>
      </c>
      <c r="U1165" s="32">
        <v>0</v>
      </c>
      <c r="V1165" s="32">
        <v>0</v>
      </c>
      <c r="W1165" s="32">
        <v>0</v>
      </c>
      <c r="X1165" s="32">
        <v>0</v>
      </c>
      <c r="Y1165" s="32">
        <v>0</v>
      </c>
      <c r="Z1165" s="32">
        <v>0</v>
      </c>
      <c r="AA1165" s="32">
        <v>0</v>
      </c>
      <c r="AB1165" s="32">
        <v>0</v>
      </c>
      <c r="AC1165" s="32">
        <f>ROUND(N1165*1.5%,2)</f>
        <v>47979.31</v>
      </c>
      <c r="AD1165" s="32">
        <v>150000</v>
      </c>
      <c r="AE1165" s="32">
        <v>0</v>
      </c>
      <c r="AF1165" s="35">
        <v>2022</v>
      </c>
      <c r="AG1165" s="35">
        <v>2022</v>
      </c>
      <c r="AH1165" s="36">
        <v>2022</v>
      </c>
      <c r="AT1165" s="21">
        <f t="shared" si="574"/>
        <v>1</v>
      </c>
    </row>
  </sheetData>
  <mergeCells count="40">
    <mergeCell ref="B7:B8"/>
    <mergeCell ref="W1:AH1"/>
    <mergeCell ref="V2:AH2"/>
    <mergeCell ref="V3:AH3"/>
    <mergeCell ref="B4:AH4"/>
    <mergeCell ref="B5:AH5"/>
    <mergeCell ref="B6:AH6"/>
    <mergeCell ref="C7:AH8"/>
    <mergeCell ref="C9:AH9"/>
    <mergeCell ref="AB12:AB16"/>
    <mergeCell ref="AC12:AC16"/>
    <mergeCell ref="E13:E16"/>
    <mergeCell ref="F13:F16"/>
    <mergeCell ref="G13:G16"/>
    <mergeCell ref="H13:H16"/>
    <mergeCell ref="I13:I16"/>
    <mergeCell ref="X12:X16"/>
    <mergeCell ref="Y12:Y16"/>
    <mergeCell ref="J13:J16"/>
    <mergeCell ref="Z12:Z16"/>
    <mergeCell ref="AA12:AA16"/>
    <mergeCell ref="E11:T11"/>
    <mergeCell ref="U11:AE11"/>
    <mergeCell ref="AF11:AF17"/>
    <mergeCell ref="D11:D16"/>
    <mergeCell ref="B11:B17"/>
    <mergeCell ref="C11:C17"/>
    <mergeCell ref="AG11:AG17"/>
    <mergeCell ref="AH11:AH17"/>
    <mergeCell ref="E12:J12"/>
    <mergeCell ref="K12:L16"/>
    <mergeCell ref="M12:N16"/>
    <mergeCell ref="O12:P16"/>
    <mergeCell ref="Q12:R16"/>
    <mergeCell ref="AD12:AD16"/>
    <mergeCell ref="AE12:AE16"/>
    <mergeCell ref="S12:T16"/>
    <mergeCell ref="U12:U16"/>
    <mergeCell ref="V12:V16"/>
    <mergeCell ref="W12:W16"/>
  </mergeCells>
  <pageMargins left="0" right="0.16" top="0.39370078740157483" bottom="0.39370078740157483" header="0" footer="0"/>
  <pageSetup paperSize="8" scale="10" fitToHeight="0" orientation="landscape" r:id="rId1"/>
  <headerFooter differentFirst="1">
    <oddHeader>&amp;C&amp;48&amp;P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C1159"/>
  <sheetViews>
    <sheetView topLeftCell="E184" zoomScale="40" zoomScaleNormal="40" zoomScaleSheetLayoutView="20" workbookViewId="0">
      <selection activeCell="T155" sqref="T155:U192"/>
    </sheetView>
  </sheetViews>
  <sheetFormatPr defaultRowHeight="15" x14ac:dyDescent="0.25"/>
  <cols>
    <col min="1" max="1" width="9.140625" style="7" hidden="1" customWidth="1"/>
    <col min="2" max="2" width="19.42578125" style="15" customWidth="1"/>
    <col min="3" max="3" width="152.140625" style="7" customWidth="1"/>
    <col min="4" max="4" width="35.140625" style="7" customWidth="1"/>
    <col min="5" max="5" width="29.28515625" style="7" customWidth="1"/>
    <col min="6" max="6" width="52.140625" style="7" customWidth="1"/>
    <col min="7" max="7" width="16.85546875" style="7" customWidth="1"/>
    <col min="8" max="8" width="17" style="7" customWidth="1"/>
    <col min="9" max="9" width="35.7109375" style="7" customWidth="1"/>
    <col min="10" max="10" width="34.7109375" style="7" customWidth="1"/>
    <col min="11" max="11" width="34.28515625" style="7" customWidth="1"/>
    <col min="12" max="12" width="22" style="16" customWidth="1"/>
    <col min="13" max="13" width="32.7109375" style="15" customWidth="1"/>
    <col min="14" max="14" width="30.42578125" style="15" customWidth="1"/>
    <col min="15" max="15" width="115" style="30" customWidth="1"/>
    <col min="16" max="16" width="34.28515625" style="17" customWidth="1"/>
    <col min="17" max="17" width="28.140625" style="17" customWidth="1"/>
    <col min="18" max="18" width="27" style="17" customWidth="1"/>
    <col min="19" max="19" width="32.85546875" style="17" customWidth="1"/>
    <col min="20" max="20" width="30.85546875" style="17" customWidth="1"/>
    <col min="21" max="21" width="32.28515625" style="17" customWidth="1"/>
    <col min="22" max="23" width="0" style="7" hidden="1" customWidth="1"/>
    <col min="24" max="24" width="74.85546875" style="7" hidden="1" customWidth="1"/>
    <col min="25" max="25" width="0" style="7" hidden="1" customWidth="1"/>
    <col min="26" max="26" width="85" style="7" hidden="1" customWidth="1"/>
    <col min="27" max="27" width="44.85546875" style="7" hidden="1" customWidth="1"/>
    <col min="28" max="70" width="0" style="7" hidden="1" customWidth="1"/>
    <col min="71" max="16384" width="9.140625" style="7"/>
  </cols>
  <sheetData>
    <row r="1" spans="1:21" ht="36" x14ac:dyDescent="0.55000000000000004">
      <c r="B1" s="21"/>
      <c r="C1" s="23"/>
      <c r="D1" s="21"/>
      <c r="E1" s="41"/>
      <c r="F1" s="21"/>
      <c r="G1" s="21"/>
      <c r="H1" s="21"/>
      <c r="I1" s="21"/>
      <c r="J1" s="21"/>
      <c r="K1" s="42"/>
      <c r="L1" s="24"/>
      <c r="M1" s="22"/>
      <c r="N1" s="81"/>
      <c r="O1" s="45"/>
      <c r="P1" s="45"/>
      <c r="Q1" s="45"/>
      <c r="R1" s="45"/>
      <c r="S1" s="171" t="s">
        <v>1027</v>
      </c>
      <c r="T1" s="171"/>
      <c r="U1" s="171"/>
    </row>
    <row r="2" spans="1:21" ht="112.5" customHeight="1" x14ac:dyDescent="0.25">
      <c r="B2" s="21"/>
      <c r="C2" s="23"/>
      <c r="D2" s="21"/>
      <c r="E2" s="41"/>
      <c r="F2" s="21"/>
      <c r="G2" s="21"/>
      <c r="H2" s="21"/>
      <c r="I2" s="21"/>
      <c r="J2" s="21"/>
      <c r="K2" s="42"/>
      <c r="L2" s="24"/>
      <c r="M2" s="22"/>
      <c r="N2" s="81"/>
      <c r="O2" s="172" t="s">
        <v>1028</v>
      </c>
      <c r="P2" s="172"/>
      <c r="Q2" s="172"/>
      <c r="R2" s="172"/>
      <c r="S2" s="172"/>
      <c r="T2" s="172"/>
      <c r="U2" s="172"/>
    </row>
    <row r="3" spans="1:21" ht="15" customHeight="1" x14ac:dyDescent="0.25">
      <c r="B3" s="21"/>
      <c r="C3" s="23"/>
      <c r="D3" s="21"/>
      <c r="E3" s="41"/>
      <c r="F3" s="21"/>
      <c r="G3" s="21"/>
      <c r="H3" s="21"/>
      <c r="I3" s="21"/>
      <c r="J3" s="21"/>
      <c r="K3" s="42"/>
      <c r="L3" s="24"/>
      <c r="M3" s="22"/>
      <c r="N3" s="81"/>
      <c r="O3" s="172"/>
      <c r="P3" s="172"/>
      <c r="Q3" s="172"/>
      <c r="R3" s="172"/>
      <c r="S3" s="172"/>
      <c r="T3" s="172"/>
      <c r="U3" s="172"/>
    </row>
    <row r="4" spans="1:21" ht="15" customHeight="1" x14ac:dyDescent="0.25">
      <c r="B4" s="169" t="s">
        <v>1029</v>
      </c>
      <c r="C4" s="169"/>
      <c r="D4" s="169"/>
      <c r="E4" s="169"/>
      <c r="F4" s="169"/>
      <c r="G4" s="169"/>
      <c r="H4" s="169"/>
      <c r="I4" s="169"/>
      <c r="J4" s="169"/>
      <c r="K4" s="169"/>
      <c r="L4" s="170"/>
      <c r="M4" s="169"/>
      <c r="N4" s="169"/>
      <c r="O4" s="169"/>
      <c r="P4" s="169"/>
      <c r="Q4" s="169"/>
      <c r="R4" s="169"/>
      <c r="S4" s="169"/>
      <c r="T4" s="169"/>
      <c r="U4" s="169"/>
    </row>
    <row r="5" spans="1:21" ht="15" customHeight="1" x14ac:dyDescent="0.2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0"/>
      <c r="M5" s="169"/>
      <c r="N5" s="169"/>
      <c r="O5" s="169"/>
      <c r="P5" s="169"/>
      <c r="Q5" s="169"/>
      <c r="R5" s="169"/>
      <c r="S5" s="169"/>
      <c r="T5" s="169"/>
      <c r="U5" s="169"/>
    </row>
    <row r="6" spans="1:21" ht="159" customHeight="1" x14ac:dyDescent="0.25"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70"/>
      <c r="M6" s="169"/>
      <c r="N6" s="169"/>
      <c r="O6" s="169"/>
      <c r="P6" s="169"/>
      <c r="Q6" s="169"/>
      <c r="R6" s="169"/>
      <c r="S6" s="169"/>
      <c r="T6" s="169"/>
      <c r="U6" s="169"/>
    </row>
    <row r="8" spans="1:21" s="14" customFormat="1" ht="96.75" customHeight="1" x14ac:dyDescent="0.3">
      <c r="B8" s="173" t="s">
        <v>6</v>
      </c>
      <c r="C8" s="173" t="s">
        <v>254</v>
      </c>
      <c r="D8" s="173" t="s">
        <v>255</v>
      </c>
      <c r="E8" s="173"/>
      <c r="F8" s="175" t="s">
        <v>256</v>
      </c>
      <c r="G8" s="175" t="s">
        <v>257</v>
      </c>
      <c r="H8" s="175" t="s">
        <v>258</v>
      </c>
      <c r="I8" s="175" t="s">
        <v>259</v>
      </c>
      <c r="J8" s="173" t="s">
        <v>260</v>
      </c>
      <c r="K8" s="173"/>
      <c r="L8" s="178" t="s">
        <v>1075</v>
      </c>
      <c r="M8" s="181" t="s">
        <v>1077</v>
      </c>
      <c r="N8" s="181" t="s">
        <v>1078</v>
      </c>
      <c r="O8" s="173" t="s">
        <v>261</v>
      </c>
      <c r="P8" s="177" t="s">
        <v>262</v>
      </c>
      <c r="Q8" s="177"/>
      <c r="R8" s="177"/>
      <c r="S8" s="177"/>
      <c r="T8" s="176" t="s">
        <v>263</v>
      </c>
      <c r="U8" s="176" t="s">
        <v>264</v>
      </c>
    </row>
    <row r="9" spans="1:21" s="14" customFormat="1" ht="339.75" customHeight="1" x14ac:dyDescent="0.3">
      <c r="B9" s="173"/>
      <c r="C9" s="173"/>
      <c r="D9" s="175" t="s">
        <v>265</v>
      </c>
      <c r="E9" s="175" t="s">
        <v>266</v>
      </c>
      <c r="F9" s="173"/>
      <c r="G9" s="173"/>
      <c r="H9" s="173"/>
      <c r="I9" s="173"/>
      <c r="J9" s="175" t="s">
        <v>267</v>
      </c>
      <c r="K9" s="175" t="s">
        <v>1076</v>
      </c>
      <c r="L9" s="179"/>
      <c r="M9" s="181"/>
      <c r="N9" s="181"/>
      <c r="O9" s="173"/>
      <c r="P9" s="176" t="s">
        <v>267</v>
      </c>
      <c r="Q9" s="176" t="s">
        <v>268</v>
      </c>
      <c r="R9" s="176" t="s">
        <v>269</v>
      </c>
      <c r="S9" s="176" t="s">
        <v>1079</v>
      </c>
      <c r="T9" s="177"/>
      <c r="U9" s="177"/>
    </row>
    <row r="10" spans="1:21" s="14" customFormat="1" ht="45" customHeight="1" x14ac:dyDescent="0.3"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80"/>
      <c r="M10" s="181"/>
      <c r="N10" s="181"/>
      <c r="O10" s="173"/>
      <c r="P10" s="177"/>
      <c r="Q10" s="176"/>
      <c r="R10" s="176"/>
      <c r="S10" s="176"/>
      <c r="T10" s="177"/>
      <c r="U10" s="177"/>
    </row>
    <row r="11" spans="1:21" s="14" customFormat="1" ht="48" customHeight="1" x14ac:dyDescent="0.3">
      <c r="B11" s="174"/>
      <c r="C11" s="174"/>
      <c r="D11" s="174"/>
      <c r="E11" s="174"/>
      <c r="F11" s="173"/>
      <c r="G11" s="174"/>
      <c r="H11" s="174"/>
      <c r="I11" s="104" t="s">
        <v>38</v>
      </c>
      <c r="J11" s="104" t="s">
        <v>38</v>
      </c>
      <c r="K11" s="104" t="s">
        <v>38</v>
      </c>
      <c r="L11" s="46" t="s">
        <v>270</v>
      </c>
      <c r="M11" s="181"/>
      <c r="N11" s="181"/>
      <c r="O11" s="173"/>
      <c r="P11" s="47" t="s">
        <v>36</v>
      </c>
      <c r="Q11" s="47" t="s">
        <v>36</v>
      </c>
      <c r="R11" s="47" t="s">
        <v>36</v>
      </c>
      <c r="S11" s="47" t="s">
        <v>36</v>
      </c>
      <c r="T11" s="47" t="s">
        <v>271</v>
      </c>
      <c r="U11" s="47" t="s">
        <v>271</v>
      </c>
    </row>
    <row r="12" spans="1:21" s="14" customFormat="1" ht="40.5" customHeight="1" x14ac:dyDescent="0.3">
      <c r="B12" s="104">
        <v>1</v>
      </c>
      <c r="C12" s="104">
        <v>2</v>
      </c>
      <c r="D12" s="104">
        <v>3</v>
      </c>
      <c r="E12" s="104">
        <v>4</v>
      </c>
      <c r="F12" s="104">
        <v>5</v>
      </c>
      <c r="G12" s="104">
        <v>6</v>
      </c>
      <c r="H12" s="104">
        <v>7</v>
      </c>
      <c r="I12" s="104">
        <v>8</v>
      </c>
      <c r="J12" s="104">
        <v>9</v>
      </c>
      <c r="K12" s="104">
        <v>10</v>
      </c>
      <c r="L12" s="46">
        <v>11</v>
      </c>
      <c r="M12" s="104">
        <v>12</v>
      </c>
      <c r="N12" s="104">
        <v>13</v>
      </c>
      <c r="O12" s="103">
        <v>14</v>
      </c>
      <c r="P12" s="104">
        <v>15</v>
      </c>
      <c r="Q12" s="104">
        <v>16</v>
      </c>
      <c r="R12" s="104">
        <v>17</v>
      </c>
      <c r="S12" s="104">
        <v>18</v>
      </c>
      <c r="T12" s="104">
        <v>19</v>
      </c>
      <c r="U12" s="104">
        <v>20</v>
      </c>
    </row>
    <row r="13" spans="1:21" s="67" customFormat="1" ht="61.5" x14ac:dyDescent="0.9">
      <c r="B13" s="115" t="s">
        <v>802</v>
      </c>
      <c r="C13" s="116"/>
      <c r="D13" s="122" t="s">
        <v>943</v>
      </c>
      <c r="E13" s="122" t="s">
        <v>943</v>
      </c>
      <c r="F13" s="122" t="s">
        <v>943</v>
      </c>
      <c r="G13" s="122" t="s">
        <v>943</v>
      </c>
      <c r="H13" s="122" t="s">
        <v>943</v>
      </c>
      <c r="I13" s="123">
        <f>I14+I527+I888</f>
        <v>2542054.7199999997</v>
      </c>
      <c r="J13" s="123">
        <f>J14+J527+J888</f>
        <v>2060460.7099999997</v>
      </c>
      <c r="K13" s="123">
        <f>K14+K527+K888</f>
        <v>1878184.6290000004</v>
      </c>
      <c r="L13" s="124">
        <f>L14+L527+L888</f>
        <v>96317</v>
      </c>
      <c r="M13" s="122" t="s">
        <v>943</v>
      </c>
      <c r="N13" s="122" t="s">
        <v>943</v>
      </c>
      <c r="O13" s="125" t="s">
        <v>943</v>
      </c>
      <c r="P13" s="123">
        <v>3187922055.7799997</v>
      </c>
      <c r="Q13" s="123">
        <f>Q14+Q527+Q888</f>
        <v>0</v>
      </c>
      <c r="R13" s="123">
        <f>R14+R527+R888</f>
        <v>9466403.9299999997</v>
      </c>
      <c r="S13" s="123">
        <f>S14+S527+S888</f>
        <v>3178455651.8499999</v>
      </c>
      <c r="T13" s="126">
        <f>P13/I13</f>
        <v>1254.072947642921</v>
      </c>
      <c r="U13" s="126">
        <f>MAX(U14:U1159)</f>
        <v>20932.721987814166</v>
      </c>
    </row>
    <row r="14" spans="1:21" s="67" customFormat="1" ht="61.5" x14ac:dyDescent="0.9">
      <c r="B14" s="115" t="s">
        <v>803</v>
      </c>
      <c r="C14" s="116"/>
      <c r="D14" s="122" t="s">
        <v>943</v>
      </c>
      <c r="E14" s="122" t="s">
        <v>943</v>
      </c>
      <c r="F14" s="122" t="s">
        <v>943</v>
      </c>
      <c r="G14" s="122" t="s">
        <v>943</v>
      </c>
      <c r="H14" s="122" t="s">
        <v>943</v>
      </c>
      <c r="I14" s="123">
        <f>I15+I120+I155+I193+I224+I230+I260+I268+I275+I280+I282+I285+I291+I297+I299+I315+I328+I333+I337+I340+I343+I346+I348+I363+I366+I368+I370+I374+I377+I379+I383+I385+I393+I395+I397+I403+I405+I408+I417+I423+I425+I435+I437+I439+I441+I443+I445+I447+I454+I463+I472+I475+I477+I483+I485+I487+I489+I491+I493+I500+I502+I504+I506+I513+I519+I523+I525</f>
        <v>1196991.8699999996</v>
      </c>
      <c r="J14" s="123">
        <f>J15+J120+J155+J193+J224+J230+J260+J268+J275+J280+J282+J285+J291+J297+J299+J315+J328+J333+J337+J340+J343+J346+J348+J363+J366+J368+J370+J374+J377+J379+J383+J385+J393+J395+J397+J403+J405+J408+J417+J423+J425+J435+J437+J439+J441+J443+J445+J447+J454+J463+J472+J475+J477+J483+J485+J487+J489+J491+J493+J500+J502+J504+J506+J513+J519+J523+J525</f>
        <v>979266.78999999957</v>
      </c>
      <c r="K14" s="123">
        <f>K15+K120+K155+K193+K224+K230+K260+K268+K275+K280+K282+K285+K291+K297+K299+K315+K328+K333+K337+K340+K343+K346+K348+K363+K366+K368+K370+K374+K377+K379+K383+K385+K393+K395+K397+K403+K405+K408+K417+K423+K425+K435+K437+K439+K441+K443+K445+K447+K454+K463+K472+K475+K477+K483+K485+K487+K489+K491+K493+K500+K502+K504+K506+K513+K519+K523+K525</f>
        <v>894682.35899999994</v>
      </c>
      <c r="L14" s="124">
        <f>L15+L120+L155+L193+L224+L230+L260+L268+L275+L280+L282+L285+L291+L297+L299+L315+L328+L333+L337+L340+L343+L346+L348+L363+L366+L368+L370+L374+L377+L379+L383+L385+L393+L395+L397+L403+L405+L408+L417+L423+L425+L435+L437+L439+L441+L443+L445+L447+L454+L463+L472+L475+L477+L483+L485+L487+L489+L491+L493+L500+L502+L504+L506+L513+L519+L523+L525</f>
        <v>44694</v>
      </c>
      <c r="M14" s="122" t="s">
        <v>943</v>
      </c>
      <c r="N14" s="122" t="s">
        <v>943</v>
      </c>
      <c r="O14" s="125" t="s">
        <v>943</v>
      </c>
      <c r="P14" s="123">
        <v>1597069381.52</v>
      </c>
      <c r="Q14" s="123">
        <f>Q15+Q120+Q155+Q193+Q224+Q230+Q260+Q268+Q275+Q280+Q282+Q285+Q291+Q297+Q299+Q315+Q328+Q333+Q337+Q340+Q343+Q346+Q348+Q363+Q366+Q368+Q370+Q374+Q377+Q379+Q383+Q385+Q393+Q395+Q397+Q403+Q405+Q408+Q417+Q423+Q425+Q435+Q437+Q439+Q441+Q443+Q445+Q447+Q454+Q463+Q472+Q475+Q477+Q483+Q485+Q487+Q489+Q491+Q493+Q500+Q502+Q504+Q506+Q513+Q519+Q523+Q525</f>
        <v>0</v>
      </c>
      <c r="R14" s="123">
        <f>R15+R120+R155+R193+R224+R230+R260+R268+R275+R280+R282+R285+R291+R297+R299+R315+R328+R333+R337+R340+R343+R346+R348+R363+R366+R368+R370+R374+R377+R379+R383+R385+R393+R395+R397+R403+R405+R408+R417+R423+R425+R435+R437+R439+R441+R443+R445+R447+R454+R463+R472+R475+R477+R483+R485+R487+R489+R491+R493+R500+R502+R504+R506+R513+R519+R523+R525</f>
        <v>5091410.0600000005</v>
      </c>
      <c r="S14" s="123">
        <f>S15+S120+S155+S193+S224+S230+S260+S268+S275+S280+S282+S285+S291+S297+S299+S315+S328+S333+S337+S340+S343+S346+S348+S363+S366+S368+S370+S374+S377+S379+S383+S385+S393+S395+S397+S403+S405+S408+S417+S423+S425+S435+S437+S439+S441+S443+S445+S447+S454+S463+S472+S475+S477+S483+S485+S487+S489+S491+S493+S500+S502+S504+S506+S513+S519+S523+S525</f>
        <v>1591977971.46</v>
      </c>
      <c r="T14" s="126">
        <f t="shared" ref="T14:T77" si="0">P14/I14</f>
        <v>1334.2357801644889</v>
      </c>
      <c r="U14" s="126">
        <f>MAX(U15:U526)</f>
        <v>20932.721987814166</v>
      </c>
    </row>
    <row r="15" spans="1:21" s="67" customFormat="1" ht="61.5" x14ac:dyDescent="0.9">
      <c r="B15" s="115" t="s">
        <v>1170</v>
      </c>
      <c r="C15" s="117"/>
      <c r="D15" s="122" t="s">
        <v>943</v>
      </c>
      <c r="E15" s="122" t="s">
        <v>943</v>
      </c>
      <c r="F15" s="122" t="s">
        <v>943</v>
      </c>
      <c r="G15" s="122" t="s">
        <v>943</v>
      </c>
      <c r="H15" s="122" t="s">
        <v>943</v>
      </c>
      <c r="I15" s="123">
        <f>SUM(I16:I119)</f>
        <v>324352.74</v>
      </c>
      <c r="J15" s="123">
        <f>SUM(J16:J119)</f>
        <v>274978.83</v>
      </c>
      <c r="K15" s="123">
        <f>SUM(K16:K119)</f>
        <v>255199.62999999998</v>
      </c>
      <c r="L15" s="124">
        <f>SUM(L16:L119)</f>
        <v>12372</v>
      </c>
      <c r="M15" s="122" t="s">
        <v>943</v>
      </c>
      <c r="N15" s="122" t="s">
        <v>943</v>
      </c>
      <c r="O15" s="125" t="s">
        <v>943</v>
      </c>
      <c r="P15" s="123">
        <v>355882113.97999996</v>
      </c>
      <c r="Q15" s="123">
        <f>SUM(Q16:Q119)</f>
        <v>0</v>
      </c>
      <c r="R15" s="123">
        <f>SUM(R16:R119)</f>
        <v>0</v>
      </c>
      <c r="S15" s="123">
        <f>SUM(S16:S119)</f>
        <v>355882113.97999996</v>
      </c>
      <c r="T15" s="126">
        <f t="shared" si="0"/>
        <v>1097.2070529757202</v>
      </c>
      <c r="U15" s="126">
        <f>MAX(U16:U119)</f>
        <v>9894.0510383838391</v>
      </c>
    </row>
    <row r="16" spans="1:21" s="67" customFormat="1" ht="61.5" x14ac:dyDescent="0.9">
      <c r="A16" s="67">
        <v>1</v>
      </c>
      <c r="B16" s="118">
        <f>SUBTOTAL(103,$A16:A$16)</f>
        <v>1</v>
      </c>
      <c r="C16" s="115" t="s">
        <v>501</v>
      </c>
      <c r="D16" s="122">
        <v>1994</v>
      </c>
      <c r="E16" s="127"/>
      <c r="F16" s="127" t="s">
        <v>274</v>
      </c>
      <c r="G16" s="122">
        <v>5</v>
      </c>
      <c r="H16" s="122">
        <v>1</v>
      </c>
      <c r="I16" s="126">
        <v>1202.5999999999999</v>
      </c>
      <c r="J16" s="126">
        <v>621</v>
      </c>
      <c r="K16" s="126">
        <v>532</v>
      </c>
      <c r="L16" s="124">
        <v>52</v>
      </c>
      <c r="M16" s="122" t="s">
        <v>272</v>
      </c>
      <c r="N16" s="122" t="s">
        <v>276</v>
      </c>
      <c r="O16" s="125" t="s">
        <v>1044</v>
      </c>
      <c r="P16" s="126">
        <v>2167472.79</v>
      </c>
      <c r="Q16" s="126">
        <v>0</v>
      </c>
      <c r="R16" s="126">
        <v>0</v>
      </c>
      <c r="S16" s="126">
        <f>P16-Q16-R16</f>
        <v>2167472.79</v>
      </c>
      <c r="T16" s="126">
        <f t="shared" si="0"/>
        <v>1802.3222933643774</v>
      </c>
      <c r="U16" s="126">
        <v>2929.2811741227342</v>
      </c>
    </row>
    <row r="17" spans="1:21" s="67" customFormat="1" ht="61.5" x14ac:dyDescent="0.9">
      <c r="A17" s="67">
        <v>1</v>
      </c>
      <c r="B17" s="118">
        <f>SUBTOTAL(103,$A$16:A17)</f>
        <v>2</v>
      </c>
      <c r="C17" s="115" t="s">
        <v>1141</v>
      </c>
      <c r="D17" s="122">
        <v>1959</v>
      </c>
      <c r="E17" s="127"/>
      <c r="F17" s="127" t="s">
        <v>274</v>
      </c>
      <c r="G17" s="122">
        <v>2</v>
      </c>
      <c r="H17" s="122">
        <v>2</v>
      </c>
      <c r="I17" s="126">
        <v>648.29999999999995</v>
      </c>
      <c r="J17" s="126">
        <v>389.3</v>
      </c>
      <c r="K17" s="126">
        <v>262.89999999999998</v>
      </c>
      <c r="L17" s="124">
        <v>47</v>
      </c>
      <c r="M17" s="122" t="s">
        <v>272</v>
      </c>
      <c r="N17" s="122" t="s">
        <v>276</v>
      </c>
      <c r="O17" s="125" t="s">
        <v>1149</v>
      </c>
      <c r="P17" s="126">
        <v>2182589</v>
      </c>
      <c r="Q17" s="126">
        <v>0</v>
      </c>
      <c r="R17" s="126">
        <v>0</v>
      </c>
      <c r="S17" s="126">
        <f t="shared" ref="S17:S79" si="1">P17-Q17-R17</f>
        <v>2182589</v>
      </c>
      <c r="T17" s="126">
        <f t="shared" si="0"/>
        <v>3366.6342742557458</v>
      </c>
      <c r="U17" s="126">
        <v>5204.8202992441775</v>
      </c>
    </row>
    <row r="18" spans="1:21" s="67" customFormat="1" ht="61.5" x14ac:dyDescent="0.9">
      <c r="A18" s="67">
        <v>1</v>
      </c>
      <c r="B18" s="118">
        <f>SUBTOTAL(103,$A$16:A18)</f>
        <v>3</v>
      </c>
      <c r="C18" s="115" t="s">
        <v>502</v>
      </c>
      <c r="D18" s="122">
        <v>1992</v>
      </c>
      <c r="E18" s="127"/>
      <c r="F18" s="127" t="s">
        <v>274</v>
      </c>
      <c r="G18" s="122">
        <v>9</v>
      </c>
      <c r="H18" s="122">
        <v>1</v>
      </c>
      <c r="I18" s="126">
        <v>4744.5</v>
      </c>
      <c r="J18" s="126">
        <v>4654.5</v>
      </c>
      <c r="K18" s="126">
        <v>4462.8</v>
      </c>
      <c r="L18" s="124">
        <v>245</v>
      </c>
      <c r="M18" s="122" t="s">
        <v>272</v>
      </c>
      <c r="N18" s="122" t="s">
        <v>276</v>
      </c>
      <c r="O18" s="125" t="s">
        <v>359</v>
      </c>
      <c r="P18" s="126">
        <v>2216111.33</v>
      </c>
      <c r="Q18" s="126">
        <v>0</v>
      </c>
      <c r="R18" s="126">
        <v>0</v>
      </c>
      <c r="S18" s="126">
        <f t="shared" si="1"/>
        <v>2216111.33</v>
      </c>
      <c r="T18" s="126">
        <f t="shared" si="0"/>
        <v>467.09059542628307</v>
      </c>
      <c r="U18" s="126">
        <v>473.8756454842449</v>
      </c>
    </row>
    <row r="19" spans="1:21" s="67" customFormat="1" ht="61.5" x14ac:dyDescent="0.9">
      <c r="A19" s="67">
        <v>1</v>
      </c>
      <c r="B19" s="118">
        <f>SUBTOTAL(103,$A$16:A19)</f>
        <v>4</v>
      </c>
      <c r="C19" s="115" t="s">
        <v>503</v>
      </c>
      <c r="D19" s="122">
        <v>1984</v>
      </c>
      <c r="E19" s="127"/>
      <c r="F19" s="127" t="s">
        <v>274</v>
      </c>
      <c r="G19" s="122">
        <v>12</v>
      </c>
      <c r="H19" s="122">
        <v>1</v>
      </c>
      <c r="I19" s="126">
        <v>6206.9</v>
      </c>
      <c r="J19" s="126">
        <v>5105</v>
      </c>
      <c r="K19" s="126">
        <v>4811</v>
      </c>
      <c r="L19" s="124">
        <v>242</v>
      </c>
      <c r="M19" s="122" t="s">
        <v>272</v>
      </c>
      <c r="N19" s="122" t="s">
        <v>276</v>
      </c>
      <c r="O19" s="125" t="s">
        <v>1044</v>
      </c>
      <c r="P19" s="126">
        <v>2530096.7899999996</v>
      </c>
      <c r="Q19" s="126">
        <v>0</v>
      </c>
      <c r="R19" s="126">
        <v>0</v>
      </c>
      <c r="S19" s="126">
        <f t="shared" si="1"/>
        <v>2530096.7899999996</v>
      </c>
      <c r="T19" s="126">
        <f t="shared" si="0"/>
        <v>407.62647859640072</v>
      </c>
      <c r="U19" s="126">
        <v>652.36140424366431</v>
      </c>
    </row>
    <row r="20" spans="1:21" s="67" customFormat="1" ht="61.5" x14ac:dyDescent="0.9">
      <c r="A20" s="67">
        <v>1</v>
      </c>
      <c r="B20" s="118">
        <f>SUBTOTAL(103,$A$16:A20)</f>
        <v>5</v>
      </c>
      <c r="C20" s="115" t="s">
        <v>504</v>
      </c>
      <c r="D20" s="122">
        <v>1978</v>
      </c>
      <c r="E20" s="127"/>
      <c r="F20" s="127" t="s">
        <v>321</v>
      </c>
      <c r="G20" s="122">
        <v>9</v>
      </c>
      <c r="H20" s="122">
        <v>2</v>
      </c>
      <c r="I20" s="126">
        <v>4413.8999999999996</v>
      </c>
      <c r="J20" s="126">
        <v>3930.4</v>
      </c>
      <c r="K20" s="126">
        <v>3880.5</v>
      </c>
      <c r="L20" s="124">
        <v>188</v>
      </c>
      <c r="M20" s="122" t="s">
        <v>272</v>
      </c>
      <c r="N20" s="122" t="s">
        <v>276</v>
      </c>
      <c r="O20" s="125" t="s">
        <v>1044</v>
      </c>
      <c r="P20" s="126">
        <v>3370794.11</v>
      </c>
      <c r="Q20" s="126">
        <v>0</v>
      </c>
      <c r="R20" s="126">
        <v>0</v>
      </c>
      <c r="S20" s="126">
        <f t="shared" si="1"/>
        <v>3370794.11</v>
      </c>
      <c r="T20" s="126">
        <f t="shared" si="0"/>
        <v>763.6770452434356</v>
      </c>
      <c r="U20" s="126">
        <v>1207.8593307505835</v>
      </c>
    </row>
    <row r="21" spans="1:21" s="67" customFormat="1" ht="61.5" x14ac:dyDescent="0.9">
      <c r="A21" s="67">
        <v>1</v>
      </c>
      <c r="B21" s="118">
        <f>SUBTOTAL(103,$A$16:A21)</f>
        <v>6</v>
      </c>
      <c r="C21" s="115" t="s">
        <v>505</v>
      </c>
      <c r="D21" s="122">
        <v>1957</v>
      </c>
      <c r="E21" s="127"/>
      <c r="F21" s="127" t="s">
        <v>274</v>
      </c>
      <c r="G21" s="122">
        <v>2</v>
      </c>
      <c r="H21" s="122">
        <v>1</v>
      </c>
      <c r="I21" s="126">
        <v>731.7</v>
      </c>
      <c r="J21" s="126">
        <v>435.3</v>
      </c>
      <c r="K21" s="126">
        <v>386</v>
      </c>
      <c r="L21" s="124">
        <v>21</v>
      </c>
      <c r="M21" s="122" t="s">
        <v>272</v>
      </c>
      <c r="N21" s="122" t="s">
        <v>276</v>
      </c>
      <c r="O21" s="125" t="s">
        <v>1045</v>
      </c>
      <c r="P21" s="126">
        <v>2010905.54</v>
      </c>
      <c r="Q21" s="126">
        <v>0</v>
      </c>
      <c r="R21" s="126">
        <v>0</v>
      </c>
      <c r="S21" s="126">
        <f t="shared" si="1"/>
        <v>2010905.54</v>
      </c>
      <c r="T21" s="126">
        <f t="shared" si="0"/>
        <v>2748.2650539838733</v>
      </c>
      <c r="U21" s="126">
        <v>4248.2846549132155</v>
      </c>
    </row>
    <row r="22" spans="1:21" s="67" customFormat="1" ht="61.5" x14ac:dyDescent="0.9">
      <c r="A22" s="67">
        <v>1</v>
      </c>
      <c r="B22" s="118">
        <f>SUBTOTAL(103,$A$16:A22)</f>
        <v>7</v>
      </c>
      <c r="C22" s="115" t="s">
        <v>506</v>
      </c>
      <c r="D22" s="122">
        <v>1986</v>
      </c>
      <c r="E22" s="127"/>
      <c r="F22" s="127" t="s">
        <v>321</v>
      </c>
      <c r="G22" s="122">
        <v>9</v>
      </c>
      <c r="H22" s="122">
        <v>2</v>
      </c>
      <c r="I22" s="126">
        <v>4945.3999999999996</v>
      </c>
      <c r="J22" s="126">
        <v>3861.7</v>
      </c>
      <c r="K22" s="126">
        <v>3562.6</v>
      </c>
      <c r="L22" s="124">
        <v>203</v>
      </c>
      <c r="M22" s="122" t="s">
        <v>272</v>
      </c>
      <c r="N22" s="122" t="s">
        <v>276</v>
      </c>
      <c r="O22" s="125" t="s">
        <v>1046</v>
      </c>
      <c r="P22" s="126">
        <v>2376623.19</v>
      </c>
      <c r="Q22" s="126">
        <v>0</v>
      </c>
      <c r="R22" s="126">
        <v>0</v>
      </c>
      <c r="S22" s="126">
        <f t="shared" si="1"/>
        <v>2376623.19</v>
      </c>
      <c r="T22" s="126">
        <f t="shared" si="0"/>
        <v>480.57248958628224</v>
      </c>
      <c r="U22" s="126">
        <v>760.09089052452782</v>
      </c>
    </row>
    <row r="23" spans="1:21" s="67" customFormat="1" ht="61.5" x14ac:dyDescent="0.9">
      <c r="A23" s="67">
        <v>1</v>
      </c>
      <c r="B23" s="118">
        <f>SUBTOTAL(103,$A$16:A23)</f>
        <v>8</v>
      </c>
      <c r="C23" s="115" t="s">
        <v>507</v>
      </c>
      <c r="D23" s="122">
        <v>1969</v>
      </c>
      <c r="E23" s="127"/>
      <c r="F23" s="127" t="s">
        <v>274</v>
      </c>
      <c r="G23" s="122">
        <v>5</v>
      </c>
      <c r="H23" s="122">
        <v>4</v>
      </c>
      <c r="I23" s="126">
        <v>4124.2</v>
      </c>
      <c r="J23" s="126">
        <v>3012</v>
      </c>
      <c r="K23" s="126">
        <v>2927.7</v>
      </c>
      <c r="L23" s="124">
        <v>141</v>
      </c>
      <c r="M23" s="122" t="s">
        <v>272</v>
      </c>
      <c r="N23" s="122" t="s">
        <v>276</v>
      </c>
      <c r="O23" s="125" t="s">
        <v>1046</v>
      </c>
      <c r="P23" s="126">
        <v>3923557.16</v>
      </c>
      <c r="Q23" s="126">
        <v>0</v>
      </c>
      <c r="R23" s="126">
        <v>0</v>
      </c>
      <c r="S23" s="126">
        <f t="shared" si="1"/>
        <v>3923557.16</v>
      </c>
      <c r="T23" s="126">
        <f t="shared" si="0"/>
        <v>951.34987633965386</v>
      </c>
      <c r="U23" s="126">
        <v>1525.0635856650986</v>
      </c>
    </row>
    <row r="24" spans="1:21" s="67" customFormat="1" ht="61.5" x14ac:dyDescent="0.9">
      <c r="A24" s="67">
        <v>1</v>
      </c>
      <c r="B24" s="118">
        <f>SUBTOTAL(103,$A$16:A24)</f>
        <v>9</v>
      </c>
      <c r="C24" s="115" t="s">
        <v>508</v>
      </c>
      <c r="D24" s="122">
        <v>1955</v>
      </c>
      <c r="E24" s="127"/>
      <c r="F24" s="127" t="s">
        <v>274</v>
      </c>
      <c r="G24" s="122">
        <v>3</v>
      </c>
      <c r="H24" s="122">
        <v>2</v>
      </c>
      <c r="I24" s="126">
        <v>1722.8</v>
      </c>
      <c r="J24" s="126">
        <v>1108.2</v>
      </c>
      <c r="K24" s="126">
        <v>1058.5999999999999</v>
      </c>
      <c r="L24" s="124">
        <v>52</v>
      </c>
      <c r="M24" s="122" t="s">
        <v>272</v>
      </c>
      <c r="N24" s="122" t="s">
        <v>276</v>
      </c>
      <c r="O24" s="125" t="s">
        <v>1047</v>
      </c>
      <c r="P24" s="126">
        <v>2869655.8400000003</v>
      </c>
      <c r="Q24" s="126">
        <v>0</v>
      </c>
      <c r="R24" s="126">
        <v>0</v>
      </c>
      <c r="S24" s="126">
        <f t="shared" si="1"/>
        <v>2869655.8400000003</v>
      </c>
      <c r="T24" s="126">
        <f t="shared" si="0"/>
        <v>1665.6929649407944</v>
      </c>
      <c r="U24" s="126">
        <v>2365.9950545623401</v>
      </c>
    </row>
    <row r="25" spans="1:21" s="67" customFormat="1" ht="61.5" x14ac:dyDescent="0.9">
      <c r="A25" s="67">
        <v>1</v>
      </c>
      <c r="B25" s="118">
        <f>SUBTOTAL(103,$A$16:A25)</f>
        <v>10</v>
      </c>
      <c r="C25" s="115" t="s">
        <v>509</v>
      </c>
      <c r="D25" s="122">
        <v>1990</v>
      </c>
      <c r="E25" s="127"/>
      <c r="F25" s="127" t="s">
        <v>274</v>
      </c>
      <c r="G25" s="122">
        <v>3</v>
      </c>
      <c r="H25" s="122">
        <v>1</v>
      </c>
      <c r="I25" s="126">
        <v>620.29999999999995</v>
      </c>
      <c r="J25" s="126">
        <v>538.5</v>
      </c>
      <c r="K25" s="126">
        <v>538.5</v>
      </c>
      <c r="L25" s="124">
        <v>23</v>
      </c>
      <c r="M25" s="122" t="s">
        <v>272</v>
      </c>
      <c r="N25" s="122" t="s">
        <v>276</v>
      </c>
      <c r="O25" s="125" t="s">
        <v>360</v>
      </c>
      <c r="P25" s="126">
        <v>1485498.48</v>
      </c>
      <c r="Q25" s="126">
        <v>0</v>
      </c>
      <c r="R25" s="126">
        <v>0</v>
      </c>
      <c r="S25" s="126">
        <f t="shared" si="1"/>
        <v>1485498.48</v>
      </c>
      <c r="T25" s="126">
        <f t="shared" si="0"/>
        <v>2394.8065129775914</v>
      </c>
      <c r="U25" s="126">
        <v>3916.6293728840883</v>
      </c>
    </row>
    <row r="26" spans="1:21" s="67" customFormat="1" ht="61.5" x14ac:dyDescent="0.9">
      <c r="A26" s="67">
        <v>1</v>
      </c>
      <c r="B26" s="118">
        <f>SUBTOTAL(103,$A$16:A26)</f>
        <v>11</v>
      </c>
      <c r="C26" s="115" t="s">
        <v>510</v>
      </c>
      <c r="D26" s="122">
        <v>1989</v>
      </c>
      <c r="E26" s="127"/>
      <c r="F26" s="127" t="s">
        <v>274</v>
      </c>
      <c r="G26" s="122">
        <v>5</v>
      </c>
      <c r="H26" s="122">
        <v>3</v>
      </c>
      <c r="I26" s="126">
        <v>2454.8000000000002</v>
      </c>
      <c r="J26" s="126">
        <v>1749.7</v>
      </c>
      <c r="K26" s="126">
        <v>1749.7</v>
      </c>
      <c r="L26" s="124">
        <v>61</v>
      </c>
      <c r="M26" s="122" t="s">
        <v>272</v>
      </c>
      <c r="N26" s="122" t="s">
        <v>276</v>
      </c>
      <c r="O26" s="125" t="s">
        <v>1048</v>
      </c>
      <c r="P26" s="126">
        <v>2576347.41</v>
      </c>
      <c r="Q26" s="126">
        <v>0</v>
      </c>
      <c r="R26" s="126">
        <v>0</v>
      </c>
      <c r="S26" s="126">
        <f t="shared" si="1"/>
        <v>2576347.41</v>
      </c>
      <c r="T26" s="126">
        <f t="shared" si="0"/>
        <v>1049.5141803812937</v>
      </c>
      <c r="U26" s="126">
        <v>1682.4689750692519</v>
      </c>
    </row>
    <row r="27" spans="1:21" s="67" customFormat="1" ht="61.5" x14ac:dyDescent="0.9">
      <c r="A27" s="67">
        <v>1</v>
      </c>
      <c r="B27" s="118">
        <f>SUBTOTAL(103,$A$16:A27)</f>
        <v>12</v>
      </c>
      <c r="C27" s="115" t="s">
        <v>511</v>
      </c>
      <c r="D27" s="122">
        <v>1995</v>
      </c>
      <c r="E27" s="127"/>
      <c r="F27" s="127" t="s">
        <v>274</v>
      </c>
      <c r="G27" s="122">
        <v>9</v>
      </c>
      <c r="H27" s="122">
        <v>1</v>
      </c>
      <c r="I27" s="126">
        <v>5292.9</v>
      </c>
      <c r="J27" s="126">
        <v>4340.07</v>
      </c>
      <c r="K27" s="126">
        <v>3967.77</v>
      </c>
      <c r="L27" s="124">
        <v>182</v>
      </c>
      <c r="M27" s="122" t="s">
        <v>272</v>
      </c>
      <c r="N27" s="122" t="s">
        <v>276</v>
      </c>
      <c r="O27" s="125" t="s">
        <v>1049</v>
      </c>
      <c r="P27" s="126">
        <v>5275854.7</v>
      </c>
      <c r="Q27" s="126">
        <v>0</v>
      </c>
      <c r="R27" s="126">
        <v>0</v>
      </c>
      <c r="S27" s="126">
        <f t="shared" si="1"/>
        <v>5275854.7</v>
      </c>
      <c r="T27" s="126">
        <f t="shared" si="0"/>
        <v>996.77959152827384</v>
      </c>
      <c r="U27" s="126">
        <v>1591.4838886054904</v>
      </c>
    </row>
    <row r="28" spans="1:21" s="67" customFormat="1" ht="61.5" x14ac:dyDescent="0.9">
      <c r="A28" s="67">
        <v>1</v>
      </c>
      <c r="B28" s="118">
        <f>SUBTOTAL(103,$A$16:A28)</f>
        <v>13</v>
      </c>
      <c r="C28" s="115" t="s">
        <v>512</v>
      </c>
      <c r="D28" s="122">
        <v>1962</v>
      </c>
      <c r="E28" s="127"/>
      <c r="F28" s="127" t="s">
        <v>274</v>
      </c>
      <c r="G28" s="122">
        <v>3</v>
      </c>
      <c r="H28" s="122">
        <v>3</v>
      </c>
      <c r="I28" s="126">
        <v>2721.6</v>
      </c>
      <c r="J28" s="126">
        <v>1752.6</v>
      </c>
      <c r="K28" s="126">
        <v>1482.9</v>
      </c>
      <c r="L28" s="124">
        <v>80</v>
      </c>
      <c r="M28" s="122" t="s">
        <v>272</v>
      </c>
      <c r="N28" s="122" t="s">
        <v>276</v>
      </c>
      <c r="O28" s="125" t="s">
        <v>1045</v>
      </c>
      <c r="P28" s="126">
        <v>3988265.4</v>
      </c>
      <c r="Q28" s="126">
        <v>0</v>
      </c>
      <c r="R28" s="126">
        <v>0</v>
      </c>
      <c r="S28" s="126">
        <f t="shared" si="1"/>
        <v>3988265.4</v>
      </c>
      <c r="T28" s="126">
        <f t="shared" si="0"/>
        <v>1465.412037037037</v>
      </c>
      <c r="U28" s="126">
        <v>2349.2045921516756</v>
      </c>
    </row>
    <row r="29" spans="1:21" s="67" customFormat="1" ht="61.5" x14ac:dyDescent="0.9">
      <c r="A29" s="67">
        <v>1</v>
      </c>
      <c r="B29" s="118">
        <f>SUBTOTAL(103,$A$16:A29)</f>
        <v>14</v>
      </c>
      <c r="C29" s="115" t="s">
        <v>513</v>
      </c>
      <c r="D29" s="122">
        <v>1957</v>
      </c>
      <c r="E29" s="127"/>
      <c r="F29" s="127" t="s">
        <v>274</v>
      </c>
      <c r="G29" s="122">
        <v>2</v>
      </c>
      <c r="H29" s="122">
        <v>1</v>
      </c>
      <c r="I29" s="126">
        <v>718.26</v>
      </c>
      <c r="J29" s="126">
        <v>408.3</v>
      </c>
      <c r="K29" s="126">
        <v>408.3</v>
      </c>
      <c r="L29" s="124">
        <v>22</v>
      </c>
      <c r="M29" s="122" t="s">
        <v>272</v>
      </c>
      <c r="N29" s="122" t="s">
        <v>276</v>
      </c>
      <c r="O29" s="125" t="s">
        <v>1045</v>
      </c>
      <c r="P29" s="126">
        <v>1785060.8199999998</v>
      </c>
      <c r="Q29" s="126">
        <v>0</v>
      </c>
      <c r="R29" s="126">
        <v>0</v>
      </c>
      <c r="S29" s="126">
        <f t="shared" si="1"/>
        <v>1785060.8199999998</v>
      </c>
      <c r="T29" s="126">
        <f t="shared" si="0"/>
        <v>2485.2571770668001</v>
      </c>
      <c r="U29" s="126">
        <v>3892.1661682399135</v>
      </c>
    </row>
    <row r="30" spans="1:21" s="67" customFormat="1" ht="61.5" x14ac:dyDescent="0.9">
      <c r="A30" s="67">
        <v>1</v>
      </c>
      <c r="B30" s="118">
        <f>SUBTOTAL(103,$A$16:A30)</f>
        <v>15</v>
      </c>
      <c r="C30" s="115" t="s">
        <v>514</v>
      </c>
      <c r="D30" s="122">
        <v>1994</v>
      </c>
      <c r="E30" s="127"/>
      <c r="F30" s="127" t="s">
        <v>274</v>
      </c>
      <c r="G30" s="122">
        <v>6</v>
      </c>
      <c r="H30" s="122">
        <v>4</v>
      </c>
      <c r="I30" s="126">
        <v>3744.6</v>
      </c>
      <c r="J30" s="126">
        <v>2905.1</v>
      </c>
      <c r="K30" s="126">
        <v>2782.1</v>
      </c>
      <c r="L30" s="124">
        <v>138</v>
      </c>
      <c r="M30" s="122" t="s">
        <v>272</v>
      </c>
      <c r="N30" s="122" t="s">
        <v>276</v>
      </c>
      <c r="O30" s="125" t="s">
        <v>1046</v>
      </c>
      <c r="P30" s="126">
        <v>2688101.64</v>
      </c>
      <c r="Q30" s="126">
        <v>0</v>
      </c>
      <c r="R30" s="126">
        <v>0</v>
      </c>
      <c r="S30" s="126">
        <f t="shared" si="1"/>
        <v>2688101.64</v>
      </c>
      <c r="T30" s="126">
        <f t="shared" si="0"/>
        <v>717.86082358596389</v>
      </c>
      <c r="U30" s="126">
        <v>1135.3947284089088</v>
      </c>
    </row>
    <row r="31" spans="1:21" s="67" customFormat="1" ht="61.5" x14ac:dyDescent="0.9">
      <c r="A31" s="67">
        <v>1</v>
      </c>
      <c r="B31" s="118">
        <f>SUBTOTAL(103,$A$16:A31)</f>
        <v>16</v>
      </c>
      <c r="C31" s="115" t="s">
        <v>515</v>
      </c>
      <c r="D31" s="122">
        <v>1993</v>
      </c>
      <c r="E31" s="127"/>
      <c r="F31" s="127" t="s">
        <v>274</v>
      </c>
      <c r="G31" s="122">
        <v>9</v>
      </c>
      <c r="H31" s="122">
        <v>3</v>
      </c>
      <c r="I31" s="126">
        <v>6478</v>
      </c>
      <c r="J31" s="126">
        <v>6359.39</v>
      </c>
      <c r="K31" s="126">
        <v>5823.79</v>
      </c>
      <c r="L31" s="124">
        <v>108</v>
      </c>
      <c r="M31" s="122" t="s">
        <v>272</v>
      </c>
      <c r="N31" s="122" t="s">
        <v>276</v>
      </c>
      <c r="O31" s="125" t="s">
        <v>359</v>
      </c>
      <c r="P31" s="126">
        <v>4308763.3600000003</v>
      </c>
      <c r="Q31" s="126">
        <v>0</v>
      </c>
      <c r="R31" s="126">
        <v>0</v>
      </c>
      <c r="S31" s="126">
        <f t="shared" si="1"/>
        <v>4308763.3600000003</v>
      </c>
      <c r="T31" s="126">
        <f t="shared" si="0"/>
        <v>665.13790676134613</v>
      </c>
      <c r="U31" s="126">
        <v>1249.0792574868785</v>
      </c>
    </row>
    <row r="32" spans="1:21" s="67" customFormat="1" ht="61.5" x14ac:dyDescent="0.9">
      <c r="A32" s="67">
        <v>1</v>
      </c>
      <c r="B32" s="118">
        <f>SUBTOTAL(103,$A$16:A32)</f>
        <v>17</v>
      </c>
      <c r="C32" s="115" t="s">
        <v>516</v>
      </c>
      <c r="D32" s="122">
        <v>1992</v>
      </c>
      <c r="E32" s="127"/>
      <c r="F32" s="127" t="s">
        <v>321</v>
      </c>
      <c r="G32" s="122">
        <v>9</v>
      </c>
      <c r="H32" s="122">
        <v>8</v>
      </c>
      <c r="I32" s="126">
        <v>14455.8</v>
      </c>
      <c r="J32" s="126">
        <v>14455.58</v>
      </c>
      <c r="K32" s="126">
        <v>13861.18</v>
      </c>
      <c r="L32" s="124">
        <v>704</v>
      </c>
      <c r="M32" s="122" t="s">
        <v>272</v>
      </c>
      <c r="N32" s="122" t="s">
        <v>276</v>
      </c>
      <c r="O32" s="125" t="s">
        <v>359</v>
      </c>
      <c r="P32" s="126">
        <v>17965640</v>
      </c>
      <c r="Q32" s="126">
        <v>0</v>
      </c>
      <c r="R32" s="126">
        <v>0</v>
      </c>
      <c r="S32" s="126">
        <f t="shared" si="1"/>
        <v>17965640</v>
      </c>
      <c r="T32" s="126">
        <f t="shared" si="0"/>
        <v>1242.7980464588609</v>
      </c>
      <c r="U32" s="126">
        <v>1244.2358084644227</v>
      </c>
    </row>
    <row r="33" spans="1:21" s="67" customFormat="1" ht="61.5" x14ac:dyDescent="0.9">
      <c r="A33" s="67">
        <v>1</v>
      </c>
      <c r="B33" s="118">
        <f>SUBTOTAL(103,$A$16:A33)</f>
        <v>18</v>
      </c>
      <c r="C33" s="115" t="s">
        <v>517</v>
      </c>
      <c r="D33" s="122">
        <v>1978</v>
      </c>
      <c r="E33" s="127"/>
      <c r="F33" s="127" t="s">
        <v>274</v>
      </c>
      <c r="G33" s="122">
        <v>5</v>
      </c>
      <c r="H33" s="122">
        <v>1</v>
      </c>
      <c r="I33" s="126">
        <v>1058.5</v>
      </c>
      <c r="J33" s="126">
        <v>777.2</v>
      </c>
      <c r="K33" s="126">
        <v>724.1</v>
      </c>
      <c r="L33" s="124">
        <v>33</v>
      </c>
      <c r="M33" s="122" t="s">
        <v>272</v>
      </c>
      <c r="N33" s="122" t="s">
        <v>276</v>
      </c>
      <c r="O33" s="125" t="s">
        <v>359</v>
      </c>
      <c r="P33" s="126">
        <v>1011238.23</v>
      </c>
      <c r="Q33" s="126">
        <v>0</v>
      </c>
      <c r="R33" s="126">
        <v>0</v>
      </c>
      <c r="S33" s="126">
        <f t="shared" si="1"/>
        <v>1011238.23</v>
      </c>
      <c r="T33" s="126">
        <f t="shared" si="0"/>
        <v>955.35024090694378</v>
      </c>
      <c r="U33" s="126">
        <v>1511.0166178554557</v>
      </c>
    </row>
    <row r="34" spans="1:21" s="67" customFormat="1" ht="61.5" x14ac:dyDescent="0.9">
      <c r="A34" s="67">
        <v>1</v>
      </c>
      <c r="B34" s="118">
        <f>SUBTOTAL(103,$A$16:A34)</f>
        <v>19</v>
      </c>
      <c r="C34" s="115" t="s">
        <v>518</v>
      </c>
      <c r="D34" s="122">
        <v>1995</v>
      </c>
      <c r="E34" s="127"/>
      <c r="F34" s="127" t="s">
        <v>274</v>
      </c>
      <c r="G34" s="122">
        <v>9</v>
      </c>
      <c r="H34" s="122">
        <v>1</v>
      </c>
      <c r="I34" s="126">
        <v>6176.6</v>
      </c>
      <c r="J34" s="126">
        <v>4705.1000000000004</v>
      </c>
      <c r="K34" s="126">
        <v>4212.5</v>
      </c>
      <c r="L34" s="124">
        <v>299</v>
      </c>
      <c r="M34" s="122" t="s">
        <v>272</v>
      </c>
      <c r="N34" s="122" t="s">
        <v>276</v>
      </c>
      <c r="O34" s="125" t="s">
        <v>1044</v>
      </c>
      <c r="P34" s="126">
        <v>3680432.55</v>
      </c>
      <c r="Q34" s="126">
        <v>0</v>
      </c>
      <c r="R34" s="126">
        <v>0</v>
      </c>
      <c r="S34" s="126">
        <f t="shared" si="1"/>
        <v>3680432.55</v>
      </c>
      <c r="T34" s="126">
        <f t="shared" si="0"/>
        <v>595.86707088041953</v>
      </c>
      <c r="U34" s="126">
        <v>1114.4547809474466</v>
      </c>
    </row>
    <row r="35" spans="1:21" s="67" customFormat="1" ht="61.5" x14ac:dyDescent="0.9">
      <c r="A35" s="67">
        <v>1</v>
      </c>
      <c r="B35" s="118">
        <f>SUBTOTAL(103,$A$16:A35)</f>
        <v>20</v>
      </c>
      <c r="C35" s="115" t="s">
        <v>519</v>
      </c>
      <c r="D35" s="122">
        <v>1988</v>
      </c>
      <c r="E35" s="127"/>
      <c r="F35" s="127" t="s">
        <v>274</v>
      </c>
      <c r="G35" s="122">
        <v>5</v>
      </c>
      <c r="H35" s="122">
        <v>2</v>
      </c>
      <c r="I35" s="126">
        <v>1410.8</v>
      </c>
      <c r="J35" s="126">
        <v>1242.3</v>
      </c>
      <c r="K35" s="126">
        <v>1081</v>
      </c>
      <c r="L35" s="124">
        <v>70</v>
      </c>
      <c r="M35" s="122" t="s">
        <v>272</v>
      </c>
      <c r="N35" s="122" t="s">
        <v>276</v>
      </c>
      <c r="O35" s="125" t="s">
        <v>1044</v>
      </c>
      <c r="P35" s="126">
        <v>1493389.79</v>
      </c>
      <c r="Q35" s="126">
        <v>0</v>
      </c>
      <c r="R35" s="126">
        <v>0</v>
      </c>
      <c r="S35" s="126">
        <f t="shared" si="1"/>
        <v>1493389.79</v>
      </c>
      <c r="T35" s="126">
        <f t="shared" si="0"/>
        <v>1058.5411043379643</v>
      </c>
      <c r="U35" s="126">
        <v>1674.2270343067764</v>
      </c>
    </row>
    <row r="36" spans="1:21" s="67" customFormat="1" ht="61.5" x14ac:dyDescent="0.9">
      <c r="A36" s="67">
        <v>1</v>
      </c>
      <c r="B36" s="118">
        <f>SUBTOTAL(103,$A$16:A36)</f>
        <v>21</v>
      </c>
      <c r="C36" s="115" t="s">
        <v>520</v>
      </c>
      <c r="D36" s="122">
        <v>1980</v>
      </c>
      <c r="E36" s="127"/>
      <c r="F36" s="127" t="s">
        <v>274</v>
      </c>
      <c r="G36" s="122">
        <v>5</v>
      </c>
      <c r="H36" s="122">
        <v>4</v>
      </c>
      <c r="I36" s="126">
        <v>3319.7</v>
      </c>
      <c r="J36" s="126">
        <v>3048.7</v>
      </c>
      <c r="K36" s="126">
        <v>2877.8</v>
      </c>
      <c r="L36" s="124">
        <v>147</v>
      </c>
      <c r="M36" s="122" t="s">
        <v>272</v>
      </c>
      <c r="N36" s="122" t="s">
        <v>276</v>
      </c>
      <c r="O36" s="125" t="s">
        <v>1044</v>
      </c>
      <c r="P36" s="126">
        <v>3225721.96</v>
      </c>
      <c r="Q36" s="126">
        <v>0</v>
      </c>
      <c r="R36" s="126">
        <v>0</v>
      </c>
      <c r="S36" s="126">
        <f t="shared" si="1"/>
        <v>3225721.96</v>
      </c>
      <c r="T36" s="126">
        <f t="shared" si="0"/>
        <v>971.6908033858482</v>
      </c>
      <c r="U36" s="126">
        <v>1536.8614392866825</v>
      </c>
    </row>
    <row r="37" spans="1:21" s="67" customFormat="1" ht="61.5" x14ac:dyDescent="0.9">
      <c r="A37" s="67">
        <v>1</v>
      </c>
      <c r="B37" s="118">
        <f>SUBTOTAL(103,$A$16:A37)</f>
        <v>22</v>
      </c>
      <c r="C37" s="115" t="s">
        <v>521</v>
      </c>
      <c r="D37" s="122">
        <v>1960</v>
      </c>
      <c r="E37" s="127"/>
      <c r="F37" s="127" t="s">
        <v>274</v>
      </c>
      <c r="G37" s="122">
        <v>5</v>
      </c>
      <c r="H37" s="122">
        <v>3</v>
      </c>
      <c r="I37" s="126">
        <v>3202.4</v>
      </c>
      <c r="J37" s="126">
        <v>2438.8000000000002</v>
      </c>
      <c r="K37" s="126">
        <v>2307.6</v>
      </c>
      <c r="L37" s="124">
        <v>127</v>
      </c>
      <c r="M37" s="122" t="s">
        <v>272</v>
      </c>
      <c r="N37" s="122" t="s">
        <v>276</v>
      </c>
      <c r="O37" s="125" t="s">
        <v>1046</v>
      </c>
      <c r="P37" s="126">
        <v>6662526.4900000002</v>
      </c>
      <c r="Q37" s="126">
        <v>0</v>
      </c>
      <c r="R37" s="126">
        <v>0</v>
      </c>
      <c r="S37" s="126">
        <f t="shared" si="1"/>
        <v>6662526.4900000002</v>
      </c>
      <c r="T37" s="126">
        <f t="shared" si="0"/>
        <v>2080.4791687484385</v>
      </c>
      <c r="U37" s="126">
        <v>4713.2646390207346</v>
      </c>
    </row>
    <row r="38" spans="1:21" s="67" customFormat="1" ht="61.5" x14ac:dyDescent="0.9">
      <c r="A38" s="67">
        <v>1</v>
      </c>
      <c r="B38" s="118">
        <f>SUBTOTAL(103,$A$16:A38)</f>
        <v>23</v>
      </c>
      <c r="C38" s="115" t="s">
        <v>522</v>
      </c>
      <c r="D38" s="122">
        <v>1968</v>
      </c>
      <c r="E38" s="127"/>
      <c r="F38" s="127" t="s">
        <v>274</v>
      </c>
      <c r="G38" s="122">
        <v>5</v>
      </c>
      <c r="H38" s="122">
        <v>5</v>
      </c>
      <c r="I38" s="126">
        <v>5459.4</v>
      </c>
      <c r="J38" s="126">
        <v>4706.8</v>
      </c>
      <c r="K38" s="126">
        <v>3495.5</v>
      </c>
      <c r="L38" s="124">
        <v>147</v>
      </c>
      <c r="M38" s="122" t="s">
        <v>272</v>
      </c>
      <c r="N38" s="122" t="s">
        <v>276</v>
      </c>
      <c r="O38" s="125" t="s">
        <v>1050</v>
      </c>
      <c r="P38" s="126">
        <v>4466002.71</v>
      </c>
      <c r="Q38" s="126">
        <v>0</v>
      </c>
      <c r="R38" s="126">
        <v>0</v>
      </c>
      <c r="S38" s="126">
        <f t="shared" si="1"/>
        <v>4466002.71</v>
      </c>
      <c r="T38" s="126">
        <f t="shared" si="0"/>
        <v>818.03910869326307</v>
      </c>
      <c r="U38" s="126">
        <v>1308.3281107814046</v>
      </c>
    </row>
    <row r="39" spans="1:21" s="67" customFormat="1" ht="61.5" x14ac:dyDescent="0.9">
      <c r="A39" s="67">
        <v>1</v>
      </c>
      <c r="B39" s="118">
        <f>SUBTOTAL(103,$A$16:A39)</f>
        <v>24</v>
      </c>
      <c r="C39" s="115" t="s">
        <v>523</v>
      </c>
      <c r="D39" s="122">
        <v>1988</v>
      </c>
      <c r="E39" s="127"/>
      <c r="F39" s="127" t="s">
        <v>321</v>
      </c>
      <c r="G39" s="122">
        <v>5</v>
      </c>
      <c r="H39" s="122">
        <v>3</v>
      </c>
      <c r="I39" s="126">
        <v>2450</v>
      </c>
      <c r="J39" s="126">
        <v>2076.5</v>
      </c>
      <c r="K39" s="126">
        <v>2076.5</v>
      </c>
      <c r="L39" s="124">
        <v>101</v>
      </c>
      <c r="M39" s="122" t="s">
        <v>272</v>
      </c>
      <c r="N39" s="122" t="s">
        <v>276</v>
      </c>
      <c r="O39" s="125" t="s">
        <v>1050</v>
      </c>
      <c r="P39" s="126">
        <v>2419201.9300000002</v>
      </c>
      <c r="Q39" s="126">
        <v>0</v>
      </c>
      <c r="R39" s="126">
        <v>0</v>
      </c>
      <c r="S39" s="126">
        <f t="shared" si="1"/>
        <v>2419201.9300000002</v>
      </c>
      <c r="T39" s="126">
        <f t="shared" si="0"/>
        <v>987.42935918367357</v>
      </c>
      <c r="U39" s="126">
        <v>1581.1210880408162</v>
      </c>
    </row>
    <row r="40" spans="1:21" s="67" customFormat="1" ht="61.5" x14ac:dyDescent="0.9">
      <c r="A40" s="67">
        <v>1</v>
      </c>
      <c r="B40" s="118">
        <f>SUBTOTAL(103,$A$16:A40)</f>
        <v>25</v>
      </c>
      <c r="C40" s="115" t="s">
        <v>524</v>
      </c>
      <c r="D40" s="122">
        <v>1988</v>
      </c>
      <c r="E40" s="127"/>
      <c r="F40" s="127" t="s">
        <v>274</v>
      </c>
      <c r="G40" s="122">
        <v>5</v>
      </c>
      <c r="H40" s="122">
        <v>3</v>
      </c>
      <c r="I40" s="126">
        <v>4166.5</v>
      </c>
      <c r="J40" s="126">
        <v>3262.2</v>
      </c>
      <c r="K40" s="126">
        <v>3262.2</v>
      </c>
      <c r="L40" s="124">
        <v>188</v>
      </c>
      <c r="M40" s="122" t="s">
        <v>272</v>
      </c>
      <c r="N40" s="122" t="s">
        <v>276</v>
      </c>
      <c r="O40" s="125" t="s">
        <v>1051</v>
      </c>
      <c r="P40" s="126">
        <v>4747116.5999999996</v>
      </c>
      <c r="Q40" s="126">
        <v>0</v>
      </c>
      <c r="R40" s="126">
        <v>0</v>
      </c>
      <c r="S40" s="126">
        <f t="shared" si="1"/>
        <v>4747116.5999999996</v>
      </c>
      <c r="T40" s="126">
        <f t="shared" si="0"/>
        <v>1139.3535581423257</v>
      </c>
      <c r="U40" s="126">
        <v>1840.0037249489978</v>
      </c>
    </row>
    <row r="41" spans="1:21" s="67" customFormat="1" ht="61.5" x14ac:dyDescent="0.9">
      <c r="A41" s="67">
        <v>1</v>
      </c>
      <c r="B41" s="118">
        <f>SUBTOTAL(103,$A$16:A41)</f>
        <v>26</v>
      </c>
      <c r="C41" s="115" t="s">
        <v>525</v>
      </c>
      <c r="D41" s="122">
        <v>1981</v>
      </c>
      <c r="E41" s="127"/>
      <c r="F41" s="127" t="s">
        <v>274</v>
      </c>
      <c r="G41" s="122">
        <v>5</v>
      </c>
      <c r="H41" s="122">
        <v>1</v>
      </c>
      <c r="I41" s="126">
        <v>794.8</v>
      </c>
      <c r="J41" s="126">
        <v>792.5</v>
      </c>
      <c r="K41" s="126">
        <v>792.5</v>
      </c>
      <c r="L41" s="124">
        <v>22</v>
      </c>
      <c r="M41" s="122" t="s">
        <v>272</v>
      </c>
      <c r="N41" s="122" t="s">
        <v>276</v>
      </c>
      <c r="O41" s="125" t="s">
        <v>359</v>
      </c>
      <c r="P41" s="126">
        <v>1318744.33</v>
      </c>
      <c r="Q41" s="126">
        <v>0</v>
      </c>
      <c r="R41" s="126">
        <v>0</v>
      </c>
      <c r="S41" s="126">
        <f t="shared" si="1"/>
        <v>1318744.33</v>
      </c>
      <c r="T41" s="126">
        <f t="shared" si="0"/>
        <v>1659.2153120281835</v>
      </c>
      <c r="U41" s="126">
        <v>2683.9745558631103</v>
      </c>
    </row>
    <row r="42" spans="1:21" s="67" customFormat="1" ht="61.5" x14ac:dyDescent="0.9">
      <c r="A42" s="67">
        <v>1</v>
      </c>
      <c r="B42" s="118">
        <f>SUBTOTAL(103,$A$16:A42)</f>
        <v>27</v>
      </c>
      <c r="C42" s="115" t="s">
        <v>526</v>
      </c>
      <c r="D42" s="122">
        <v>1985</v>
      </c>
      <c r="E42" s="127"/>
      <c r="F42" s="127" t="s">
        <v>321</v>
      </c>
      <c r="G42" s="122">
        <v>2</v>
      </c>
      <c r="H42" s="122">
        <v>2</v>
      </c>
      <c r="I42" s="126">
        <v>617.79999999999995</v>
      </c>
      <c r="J42" s="126">
        <v>560.5</v>
      </c>
      <c r="K42" s="126">
        <v>560.5</v>
      </c>
      <c r="L42" s="124">
        <v>35</v>
      </c>
      <c r="M42" s="122" t="s">
        <v>272</v>
      </c>
      <c r="N42" s="122" t="s">
        <v>276</v>
      </c>
      <c r="O42" s="125" t="s">
        <v>1048</v>
      </c>
      <c r="P42" s="126">
        <v>1791261.3800000001</v>
      </c>
      <c r="Q42" s="126">
        <v>0</v>
      </c>
      <c r="R42" s="126">
        <v>0</v>
      </c>
      <c r="S42" s="126">
        <f t="shared" si="1"/>
        <v>1791261.3800000001</v>
      </c>
      <c r="T42" s="126">
        <f t="shared" si="0"/>
        <v>2899.4195208805445</v>
      </c>
      <c r="U42" s="126">
        <v>4725.528297183555</v>
      </c>
    </row>
    <row r="43" spans="1:21" s="67" customFormat="1" ht="61.5" x14ac:dyDescent="0.9">
      <c r="A43" s="67">
        <v>1</v>
      </c>
      <c r="B43" s="118">
        <f>SUBTOTAL(103,$A$16:A43)</f>
        <v>28</v>
      </c>
      <c r="C43" s="115" t="s">
        <v>527</v>
      </c>
      <c r="D43" s="122">
        <v>1967</v>
      </c>
      <c r="E43" s="127"/>
      <c r="F43" s="127" t="s">
        <v>274</v>
      </c>
      <c r="G43" s="122">
        <v>2</v>
      </c>
      <c r="H43" s="122">
        <v>2</v>
      </c>
      <c r="I43" s="126">
        <v>705.8</v>
      </c>
      <c r="J43" s="126">
        <v>652.9</v>
      </c>
      <c r="K43" s="126">
        <v>519.20000000000005</v>
      </c>
      <c r="L43" s="124">
        <v>38</v>
      </c>
      <c r="M43" s="122" t="s">
        <v>272</v>
      </c>
      <c r="N43" s="122" t="s">
        <v>276</v>
      </c>
      <c r="O43" s="125" t="s">
        <v>1048</v>
      </c>
      <c r="P43" s="126">
        <v>2411249.27</v>
      </c>
      <c r="Q43" s="126">
        <v>0</v>
      </c>
      <c r="R43" s="126">
        <v>0</v>
      </c>
      <c r="S43" s="126">
        <f t="shared" si="1"/>
        <v>2411249.27</v>
      </c>
      <c r="T43" s="126">
        <f t="shared" si="0"/>
        <v>3416.3350382544631</v>
      </c>
      <c r="U43" s="126">
        <v>5784.7617597052986</v>
      </c>
    </row>
    <row r="44" spans="1:21" s="67" customFormat="1" ht="61.5" x14ac:dyDescent="0.9">
      <c r="A44" s="67">
        <v>1</v>
      </c>
      <c r="B44" s="118">
        <f>SUBTOTAL(103,$A$16:A44)</f>
        <v>29</v>
      </c>
      <c r="C44" s="115" t="s">
        <v>528</v>
      </c>
      <c r="D44" s="122">
        <v>1972</v>
      </c>
      <c r="E44" s="127"/>
      <c r="F44" s="127" t="s">
        <v>274</v>
      </c>
      <c r="G44" s="122">
        <v>2</v>
      </c>
      <c r="H44" s="122">
        <v>2</v>
      </c>
      <c r="I44" s="126">
        <v>790.6</v>
      </c>
      <c r="J44" s="126">
        <v>725.4</v>
      </c>
      <c r="K44" s="126">
        <v>532.9</v>
      </c>
      <c r="L44" s="124">
        <v>47</v>
      </c>
      <c r="M44" s="122" t="s">
        <v>272</v>
      </c>
      <c r="N44" s="122" t="s">
        <v>276</v>
      </c>
      <c r="O44" s="125" t="s">
        <v>1052</v>
      </c>
      <c r="P44" s="126">
        <v>3283580.04</v>
      </c>
      <c r="Q44" s="126">
        <v>0</v>
      </c>
      <c r="R44" s="126">
        <v>0</v>
      </c>
      <c r="S44" s="126">
        <f t="shared" si="1"/>
        <v>3283580.04</v>
      </c>
      <c r="T44" s="126">
        <f t="shared" si="0"/>
        <v>4153.2760435112568</v>
      </c>
      <c r="U44" s="126">
        <v>6658.088287376675</v>
      </c>
    </row>
    <row r="45" spans="1:21" s="67" customFormat="1" ht="61.5" x14ac:dyDescent="0.9">
      <c r="A45" s="67">
        <v>1</v>
      </c>
      <c r="B45" s="118">
        <f>SUBTOTAL(103,$A$16:A45)</f>
        <v>30</v>
      </c>
      <c r="C45" s="115" t="s">
        <v>529</v>
      </c>
      <c r="D45" s="122">
        <v>1994</v>
      </c>
      <c r="E45" s="127"/>
      <c r="F45" s="127" t="s">
        <v>321</v>
      </c>
      <c r="G45" s="122">
        <v>9</v>
      </c>
      <c r="H45" s="122">
        <v>7</v>
      </c>
      <c r="I45" s="126">
        <v>14325</v>
      </c>
      <c r="J45" s="126">
        <v>14166</v>
      </c>
      <c r="K45" s="126">
        <v>14001.7</v>
      </c>
      <c r="L45" s="124">
        <v>600</v>
      </c>
      <c r="M45" s="122" t="s">
        <v>272</v>
      </c>
      <c r="N45" s="122" t="s">
        <v>276</v>
      </c>
      <c r="O45" s="125" t="s">
        <v>359</v>
      </c>
      <c r="P45" s="126">
        <v>15280979</v>
      </c>
      <c r="Q45" s="126">
        <v>0</v>
      </c>
      <c r="R45" s="126">
        <v>0</v>
      </c>
      <c r="S45" s="126">
        <f t="shared" si="1"/>
        <v>15280979</v>
      </c>
      <c r="T45" s="126">
        <f t="shared" si="0"/>
        <v>1066.7350087260036</v>
      </c>
      <c r="U45" s="126">
        <v>1098.6471902268761</v>
      </c>
    </row>
    <row r="46" spans="1:21" s="67" customFormat="1" ht="61.5" x14ac:dyDescent="0.9">
      <c r="A46" s="67">
        <v>1</v>
      </c>
      <c r="B46" s="118">
        <f>SUBTOTAL(103,$A$16:A46)</f>
        <v>31</v>
      </c>
      <c r="C46" s="115" t="s">
        <v>530</v>
      </c>
      <c r="D46" s="122">
        <v>1994</v>
      </c>
      <c r="E46" s="127"/>
      <c r="F46" s="127" t="s">
        <v>321</v>
      </c>
      <c r="G46" s="122">
        <v>9</v>
      </c>
      <c r="H46" s="122">
        <v>2</v>
      </c>
      <c r="I46" s="126">
        <v>5491.1</v>
      </c>
      <c r="J46" s="126">
        <v>5444.9</v>
      </c>
      <c r="K46" s="126">
        <v>5379.7</v>
      </c>
      <c r="L46" s="124">
        <v>257</v>
      </c>
      <c r="M46" s="122" t="s">
        <v>272</v>
      </c>
      <c r="N46" s="122" t="s">
        <v>276</v>
      </c>
      <c r="O46" s="125" t="s">
        <v>359</v>
      </c>
      <c r="P46" s="126">
        <v>4360892</v>
      </c>
      <c r="Q46" s="126">
        <v>0</v>
      </c>
      <c r="R46" s="126">
        <v>0</v>
      </c>
      <c r="S46" s="126">
        <f t="shared" si="1"/>
        <v>4360892</v>
      </c>
      <c r="T46" s="126">
        <f t="shared" si="0"/>
        <v>794.17457340059366</v>
      </c>
      <c r="U46" s="126">
        <v>818.88983992278406</v>
      </c>
    </row>
    <row r="47" spans="1:21" s="67" customFormat="1" ht="61.5" x14ac:dyDescent="0.9">
      <c r="A47" s="67">
        <v>1</v>
      </c>
      <c r="B47" s="118">
        <f>SUBTOTAL(103,$A$16:A47)</f>
        <v>32</v>
      </c>
      <c r="C47" s="115" t="s">
        <v>531</v>
      </c>
      <c r="D47" s="122">
        <v>1993</v>
      </c>
      <c r="E47" s="127"/>
      <c r="F47" s="127" t="s">
        <v>321</v>
      </c>
      <c r="G47" s="122">
        <v>9</v>
      </c>
      <c r="H47" s="122">
        <v>1</v>
      </c>
      <c r="I47" s="126">
        <v>1614.7</v>
      </c>
      <c r="J47" s="126">
        <v>1585.9</v>
      </c>
      <c r="K47" s="126">
        <v>1361.4</v>
      </c>
      <c r="L47" s="124">
        <v>66</v>
      </c>
      <c r="M47" s="122" t="s">
        <v>272</v>
      </c>
      <c r="N47" s="122" t="s">
        <v>276</v>
      </c>
      <c r="O47" s="125" t="s">
        <v>359</v>
      </c>
      <c r="P47" s="126">
        <v>2248303</v>
      </c>
      <c r="Q47" s="126">
        <v>0</v>
      </c>
      <c r="R47" s="126">
        <v>0</v>
      </c>
      <c r="S47" s="126">
        <f t="shared" si="1"/>
        <v>2248303</v>
      </c>
      <c r="T47" s="126">
        <f t="shared" si="0"/>
        <v>1392.3967300427323</v>
      </c>
      <c r="U47" s="126">
        <v>1392.3967300427323</v>
      </c>
    </row>
    <row r="48" spans="1:21" s="67" customFormat="1" ht="61.5" x14ac:dyDescent="0.9">
      <c r="A48" s="67">
        <v>1</v>
      </c>
      <c r="B48" s="118">
        <f>SUBTOTAL(103,$A$16:A48)</f>
        <v>33</v>
      </c>
      <c r="C48" s="115" t="s">
        <v>532</v>
      </c>
      <c r="D48" s="122">
        <v>1993</v>
      </c>
      <c r="E48" s="127"/>
      <c r="F48" s="127" t="s">
        <v>321</v>
      </c>
      <c r="G48" s="122">
        <v>9</v>
      </c>
      <c r="H48" s="122">
        <v>2</v>
      </c>
      <c r="I48" s="126">
        <v>4490.3</v>
      </c>
      <c r="J48" s="126">
        <v>4474.6000000000004</v>
      </c>
      <c r="K48" s="126">
        <v>4474.6000000000004</v>
      </c>
      <c r="L48" s="124">
        <v>177</v>
      </c>
      <c r="M48" s="122" t="s">
        <v>272</v>
      </c>
      <c r="N48" s="122" t="s">
        <v>276</v>
      </c>
      <c r="O48" s="125" t="s">
        <v>359</v>
      </c>
      <c r="P48" s="126">
        <v>4496606</v>
      </c>
      <c r="Q48" s="126">
        <v>0</v>
      </c>
      <c r="R48" s="126">
        <v>0</v>
      </c>
      <c r="S48" s="126">
        <f t="shared" si="1"/>
        <v>4496606</v>
      </c>
      <c r="T48" s="126">
        <f t="shared" si="0"/>
        <v>1001.4043605104335</v>
      </c>
      <c r="U48" s="126">
        <v>1001.4043605104335</v>
      </c>
    </row>
    <row r="49" spans="1:21" s="67" customFormat="1" ht="61.5" x14ac:dyDescent="0.9">
      <c r="A49" s="67">
        <v>1</v>
      </c>
      <c r="B49" s="118">
        <f>SUBTOTAL(103,$A$16:A49)</f>
        <v>34</v>
      </c>
      <c r="C49" s="115" t="s">
        <v>533</v>
      </c>
      <c r="D49" s="122">
        <v>1987</v>
      </c>
      <c r="E49" s="127"/>
      <c r="F49" s="127" t="s">
        <v>274</v>
      </c>
      <c r="G49" s="122">
        <v>5</v>
      </c>
      <c r="H49" s="122">
        <v>2</v>
      </c>
      <c r="I49" s="126">
        <v>1670.9</v>
      </c>
      <c r="J49" s="126">
        <v>1146.4000000000001</v>
      </c>
      <c r="K49" s="126">
        <v>1030.9000000000001</v>
      </c>
      <c r="L49" s="124">
        <v>65</v>
      </c>
      <c r="M49" s="122" t="s">
        <v>272</v>
      </c>
      <c r="N49" s="122" t="s">
        <v>276</v>
      </c>
      <c r="O49" s="125" t="s">
        <v>1046</v>
      </c>
      <c r="P49" s="126">
        <v>1387013.57</v>
      </c>
      <c r="Q49" s="126">
        <v>0</v>
      </c>
      <c r="R49" s="126">
        <v>0</v>
      </c>
      <c r="S49" s="126">
        <f t="shared" si="1"/>
        <v>1387013.57</v>
      </c>
      <c r="T49" s="126">
        <f t="shared" si="0"/>
        <v>830.09968879047221</v>
      </c>
      <c r="U49" s="126">
        <v>1341.3131228679154</v>
      </c>
    </row>
    <row r="50" spans="1:21" s="67" customFormat="1" ht="61.5" x14ac:dyDescent="0.9">
      <c r="A50" s="67">
        <v>1</v>
      </c>
      <c r="B50" s="118">
        <f>SUBTOTAL(103,$A$16:A50)</f>
        <v>35</v>
      </c>
      <c r="C50" s="115" t="s">
        <v>534</v>
      </c>
      <c r="D50" s="122">
        <v>1983</v>
      </c>
      <c r="E50" s="127"/>
      <c r="F50" s="127" t="s">
        <v>274</v>
      </c>
      <c r="G50" s="122">
        <v>5</v>
      </c>
      <c r="H50" s="122">
        <v>1</v>
      </c>
      <c r="I50" s="126">
        <v>628.5</v>
      </c>
      <c r="J50" s="126">
        <v>568.5</v>
      </c>
      <c r="K50" s="126">
        <v>568.5</v>
      </c>
      <c r="L50" s="124">
        <v>31</v>
      </c>
      <c r="M50" s="122" t="s">
        <v>272</v>
      </c>
      <c r="N50" s="122" t="s">
        <v>276</v>
      </c>
      <c r="O50" s="125" t="s">
        <v>1044</v>
      </c>
      <c r="P50" s="126">
        <v>985637.27</v>
      </c>
      <c r="Q50" s="126">
        <v>0</v>
      </c>
      <c r="R50" s="126">
        <v>0</v>
      </c>
      <c r="S50" s="126">
        <f t="shared" si="1"/>
        <v>985637.27</v>
      </c>
      <c r="T50" s="126">
        <f t="shared" si="0"/>
        <v>1568.2375019888625</v>
      </c>
      <c r="U50" s="126">
        <v>2480.3813365155129</v>
      </c>
    </row>
    <row r="51" spans="1:21" s="67" customFormat="1" ht="61.5" x14ac:dyDescent="0.9">
      <c r="A51" s="67">
        <v>1</v>
      </c>
      <c r="B51" s="118">
        <f>SUBTOTAL(103,$A$16:A51)</f>
        <v>36</v>
      </c>
      <c r="C51" s="115" t="s">
        <v>535</v>
      </c>
      <c r="D51" s="122">
        <v>1959</v>
      </c>
      <c r="E51" s="127"/>
      <c r="F51" s="127" t="s">
        <v>274</v>
      </c>
      <c r="G51" s="122">
        <v>2</v>
      </c>
      <c r="H51" s="122">
        <v>1</v>
      </c>
      <c r="I51" s="126">
        <v>313.3</v>
      </c>
      <c r="J51" s="126">
        <v>290.10000000000002</v>
      </c>
      <c r="K51" s="126">
        <v>290.10000000000002</v>
      </c>
      <c r="L51" s="124">
        <v>24</v>
      </c>
      <c r="M51" s="122" t="s">
        <v>272</v>
      </c>
      <c r="N51" s="122" t="s">
        <v>276</v>
      </c>
      <c r="O51" s="125" t="s">
        <v>1044</v>
      </c>
      <c r="P51" s="126">
        <v>1473553.8699999999</v>
      </c>
      <c r="Q51" s="126">
        <v>0</v>
      </c>
      <c r="R51" s="126">
        <v>0</v>
      </c>
      <c r="S51" s="126">
        <f t="shared" si="1"/>
        <v>1473553.8699999999</v>
      </c>
      <c r="T51" s="126">
        <f t="shared" si="0"/>
        <v>4703.331854452601</v>
      </c>
      <c r="U51" s="126">
        <v>8502.3926230450052</v>
      </c>
    </row>
    <row r="52" spans="1:21" s="67" customFormat="1" ht="61.5" x14ac:dyDescent="0.9">
      <c r="A52" s="67">
        <v>1</v>
      </c>
      <c r="B52" s="118">
        <f>SUBTOTAL(103,$A$16:A52)</f>
        <v>37</v>
      </c>
      <c r="C52" s="115" t="s">
        <v>1142</v>
      </c>
      <c r="D52" s="122">
        <v>1941</v>
      </c>
      <c r="E52" s="127"/>
      <c r="F52" s="127" t="s">
        <v>274</v>
      </c>
      <c r="G52" s="122">
        <v>3</v>
      </c>
      <c r="H52" s="122">
        <v>2</v>
      </c>
      <c r="I52" s="126">
        <v>1259.5999999999999</v>
      </c>
      <c r="J52" s="126">
        <v>1105.5</v>
      </c>
      <c r="K52" s="126">
        <v>1105.5</v>
      </c>
      <c r="L52" s="124">
        <v>57</v>
      </c>
      <c r="M52" s="122" t="s">
        <v>272</v>
      </c>
      <c r="N52" s="122" t="s">
        <v>276</v>
      </c>
      <c r="O52" s="125" t="s">
        <v>1150</v>
      </c>
      <c r="P52" s="126">
        <v>3068875</v>
      </c>
      <c r="Q52" s="126">
        <v>0</v>
      </c>
      <c r="R52" s="126">
        <v>0</v>
      </c>
      <c r="S52" s="126">
        <f t="shared" si="1"/>
        <v>3068875</v>
      </c>
      <c r="T52" s="126">
        <f t="shared" si="0"/>
        <v>2436.3885360431887</v>
      </c>
      <c r="U52" s="126">
        <v>5147.5328675770088</v>
      </c>
    </row>
    <row r="53" spans="1:21" s="67" customFormat="1" ht="61.5" x14ac:dyDescent="0.9">
      <c r="A53" s="67">
        <v>1</v>
      </c>
      <c r="B53" s="118">
        <f>SUBTOTAL(103,$A$16:A53)</f>
        <v>38</v>
      </c>
      <c r="C53" s="115" t="s">
        <v>536</v>
      </c>
      <c r="D53" s="122">
        <v>1969</v>
      </c>
      <c r="E53" s="127"/>
      <c r="F53" s="127" t="s">
        <v>274</v>
      </c>
      <c r="G53" s="122">
        <v>9</v>
      </c>
      <c r="H53" s="122">
        <v>1</v>
      </c>
      <c r="I53" s="126">
        <v>2575.6999999999998</v>
      </c>
      <c r="J53" s="126">
        <v>2278.3000000000002</v>
      </c>
      <c r="K53" s="126">
        <v>2233.5</v>
      </c>
      <c r="L53" s="124">
        <v>84</v>
      </c>
      <c r="M53" s="122" t="s">
        <v>272</v>
      </c>
      <c r="N53" s="122" t="s">
        <v>276</v>
      </c>
      <c r="O53" s="125" t="s">
        <v>1044</v>
      </c>
      <c r="P53" s="126">
        <v>2248303</v>
      </c>
      <c r="Q53" s="126">
        <v>0</v>
      </c>
      <c r="R53" s="126">
        <v>0</v>
      </c>
      <c r="S53" s="126">
        <f t="shared" si="1"/>
        <v>2248303</v>
      </c>
      <c r="T53" s="126">
        <f t="shared" si="0"/>
        <v>872.89008813138184</v>
      </c>
      <c r="U53" s="126">
        <v>872.89008813138184</v>
      </c>
    </row>
    <row r="54" spans="1:21" s="67" customFormat="1" ht="61.5" x14ac:dyDescent="0.9">
      <c r="A54" s="67">
        <v>1</v>
      </c>
      <c r="B54" s="118">
        <f>SUBTOTAL(103,$A$16:A54)</f>
        <v>39</v>
      </c>
      <c r="C54" s="115" t="s">
        <v>537</v>
      </c>
      <c r="D54" s="122">
        <v>1983</v>
      </c>
      <c r="E54" s="127"/>
      <c r="F54" s="127" t="s">
        <v>274</v>
      </c>
      <c r="G54" s="122">
        <v>5</v>
      </c>
      <c r="H54" s="122">
        <v>3</v>
      </c>
      <c r="I54" s="126">
        <v>2943.9</v>
      </c>
      <c r="J54" s="126">
        <v>1558.5</v>
      </c>
      <c r="K54" s="126">
        <v>1519.6</v>
      </c>
      <c r="L54" s="124">
        <v>99</v>
      </c>
      <c r="M54" s="122" t="s">
        <v>272</v>
      </c>
      <c r="N54" s="122" t="s">
        <v>276</v>
      </c>
      <c r="O54" s="125" t="s">
        <v>1044</v>
      </c>
      <c r="P54" s="126">
        <v>3345041.9099999997</v>
      </c>
      <c r="Q54" s="126">
        <v>0</v>
      </c>
      <c r="R54" s="126">
        <v>0</v>
      </c>
      <c r="S54" s="126">
        <f t="shared" si="1"/>
        <v>3345041.9099999997</v>
      </c>
      <c r="T54" s="126">
        <f t="shared" si="0"/>
        <v>1136.2620707225108</v>
      </c>
      <c r="U54" s="126">
        <v>1821.5339250653894</v>
      </c>
    </row>
    <row r="55" spans="1:21" s="67" customFormat="1" ht="61.5" x14ac:dyDescent="0.9">
      <c r="A55" s="67">
        <v>1</v>
      </c>
      <c r="B55" s="118">
        <f>SUBTOTAL(103,$A$16:A55)</f>
        <v>40</v>
      </c>
      <c r="C55" s="115" t="s">
        <v>538</v>
      </c>
      <c r="D55" s="122">
        <v>1989</v>
      </c>
      <c r="E55" s="127"/>
      <c r="F55" s="127" t="s">
        <v>274</v>
      </c>
      <c r="G55" s="122">
        <v>5</v>
      </c>
      <c r="H55" s="122">
        <v>4</v>
      </c>
      <c r="I55" s="126">
        <v>3501.4</v>
      </c>
      <c r="J55" s="126">
        <v>2634.9</v>
      </c>
      <c r="K55" s="126">
        <v>2634.9</v>
      </c>
      <c r="L55" s="124">
        <v>131</v>
      </c>
      <c r="M55" s="122" t="s">
        <v>272</v>
      </c>
      <c r="N55" s="122" t="s">
        <v>276</v>
      </c>
      <c r="O55" s="125" t="s">
        <v>1051</v>
      </c>
      <c r="P55" s="126">
        <v>3596842.14</v>
      </c>
      <c r="Q55" s="126">
        <v>0</v>
      </c>
      <c r="R55" s="126">
        <v>0</v>
      </c>
      <c r="S55" s="126">
        <f t="shared" si="1"/>
        <v>3596842.14</v>
      </c>
      <c r="T55" s="126">
        <f t="shared" si="0"/>
        <v>1027.2582795453247</v>
      </c>
      <c r="U55" s="126">
        <v>1659.484426229508</v>
      </c>
    </row>
    <row r="56" spans="1:21" s="67" customFormat="1" ht="61.5" x14ac:dyDescent="0.9">
      <c r="A56" s="67">
        <v>1</v>
      </c>
      <c r="B56" s="118">
        <f>SUBTOTAL(103,$A$16:A56)</f>
        <v>41</v>
      </c>
      <c r="C56" s="115" t="s">
        <v>539</v>
      </c>
      <c r="D56" s="122">
        <v>1980</v>
      </c>
      <c r="E56" s="127"/>
      <c r="F56" s="127" t="s">
        <v>274</v>
      </c>
      <c r="G56" s="122">
        <v>5</v>
      </c>
      <c r="H56" s="122">
        <v>1</v>
      </c>
      <c r="I56" s="126">
        <v>1264.0999999999999</v>
      </c>
      <c r="J56" s="126">
        <v>1001.3</v>
      </c>
      <c r="K56" s="126">
        <v>1001.3</v>
      </c>
      <c r="L56" s="124">
        <v>42</v>
      </c>
      <c r="M56" s="122" t="s">
        <v>272</v>
      </c>
      <c r="N56" s="122" t="s">
        <v>276</v>
      </c>
      <c r="O56" s="125" t="s">
        <v>1051</v>
      </c>
      <c r="P56" s="126">
        <v>1174579.6199999999</v>
      </c>
      <c r="Q56" s="126">
        <v>0</v>
      </c>
      <c r="R56" s="126">
        <v>0</v>
      </c>
      <c r="S56" s="126">
        <f t="shared" si="1"/>
        <v>1174579.6199999999</v>
      </c>
      <c r="T56" s="126">
        <f t="shared" si="0"/>
        <v>929.18251720591718</v>
      </c>
      <c r="U56" s="126">
        <v>1532.1885847638637</v>
      </c>
    </row>
    <row r="57" spans="1:21" s="67" customFormat="1" ht="61.5" x14ac:dyDescent="0.9">
      <c r="A57" s="67">
        <v>1</v>
      </c>
      <c r="B57" s="118">
        <f>SUBTOTAL(103,$A$16:A57)</f>
        <v>42</v>
      </c>
      <c r="C57" s="115" t="s">
        <v>540</v>
      </c>
      <c r="D57" s="122">
        <v>1981</v>
      </c>
      <c r="E57" s="127"/>
      <c r="F57" s="127" t="s">
        <v>321</v>
      </c>
      <c r="G57" s="122">
        <v>5</v>
      </c>
      <c r="H57" s="122">
        <v>8</v>
      </c>
      <c r="I57" s="126">
        <v>7968.9</v>
      </c>
      <c r="J57" s="126">
        <v>6120.8</v>
      </c>
      <c r="K57" s="126">
        <v>6120.8</v>
      </c>
      <c r="L57" s="124">
        <v>317</v>
      </c>
      <c r="M57" s="122" t="s">
        <v>272</v>
      </c>
      <c r="N57" s="122" t="s">
        <v>276</v>
      </c>
      <c r="O57" s="125" t="s">
        <v>1051</v>
      </c>
      <c r="P57" s="126">
        <v>7166073.3299999991</v>
      </c>
      <c r="Q57" s="126">
        <v>0</v>
      </c>
      <c r="R57" s="126">
        <v>0</v>
      </c>
      <c r="S57" s="126">
        <f t="shared" si="1"/>
        <v>7166073.3299999991</v>
      </c>
      <c r="T57" s="126">
        <f t="shared" si="0"/>
        <v>899.25502014079723</v>
      </c>
      <c r="U57" s="126">
        <v>1494.7139567568925</v>
      </c>
    </row>
    <row r="58" spans="1:21" s="67" customFormat="1" ht="61.5" x14ac:dyDescent="0.9">
      <c r="A58" s="67">
        <v>1</v>
      </c>
      <c r="B58" s="118">
        <f>SUBTOTAL(103,$A$16:A58)</f>
        <v>43</v>
      </c>
      <c r="C58" s="115" t="s">
        <v>541</v>
      </c>
      <c r="D58" s="122">
        <v>1993</v>
      </c>
      <c r="E58" s="127"/>
      <c r="F58" s="127" t="s">
        <v>321</v>
      </c>
      <c r="G58" s="122">
        <v>5</v>
      </c>
      <c r="H58" s="122">
        <v>5</v>
      </c>
      <c r="I58" s="126">
        <v>7577.6</v>
      </c>
      <c r="J58" s="126">
        <v>5722.2</v>
      </c>
      <c r="K58" s="126">
        <v>5722</v>
      </c>
      <c r="L58" s="124">
        <v>260</v>
      </c>
      <c r="M58" s="122" t="s">
        <v>272</v>
      </c>
      <c r="N58" s="122" t="s">
        <v>276</v>
      </c>
      <c r="O58" s="125" t="s">
        <v>1051</v>
      </c>
      <c r="P58" s="126">
        <v>8262644.0300000003</v>
      </c>
      <c r="Q58" s="126">
        <v>0</v>
      </c>
      <c r="R58" s="126">
        <v>0</v>
      </c>
      <c r="S58" s="126">
        <f t="shared" si="1"/>
        <v>8262644.0300000003</v>
      </c>
      <c r="T58" s="126">
        <f t="shared" si="0"/>
        <v>1090.4038257495777</v>
      </c>
      <c r="U58" s="126">
        <v>1812.3601074218748</v>
      </c>
    </row>
    <row r="59" spans="1:21" s="67" customFormat="1" ht="61.5" x14ac:dyDescent="0.9">
      <c r="A59" s="67">
        <v>1</v>
      </c>
      <c r="B59" s="118">
        <f>SUBTOTAL(103,$A$16:A59)</f>
        <v>44</v>
      </c>
      <c r="C59" s="115" t="s">
        <v>542</v>
      </c>
      <c r="D59" s="122">
        <v>1986</v>
      </c>
      <c r="E59" s="127"/>
      <c r="F59" s="127" t="s">
        <v>274</v>
      </c>
      <c r="G59" s="122">
        <v>5</v>
      </c>
      <c r="H59" s="122">
        <v>4</v>
      </c>
      <c r="I59" s="126">
        <v>3600.3</v>
      </c>
      <c r="J59" s="126">
        <v>2714.2</v>
      </c>
      <c r="K59" s="126">
        <v>2714.2</v>
      </c>
      <c r="L59" s="124">
        <v>137</v>
      </c>
      <c r="M59" s="122" t="s">
        <v>272</v>
      </c>
      <c r="N59" s="122" t="s">
        <v>276</v>
      </c>
      <c r="O59" s="125" t="s">
        <v>1051</v>
      </c>
      <c r="P59" s="126">
        <v>3765448.0900000003</v>
      </c>
      <c r="Q59" s="126">
        <v>0</v>
      </c>
      <c r="R59" s="126">
        <v>0</v>
      </c>
      <c r="S59" s="126">
        <f t="shared" si="1"/>
        <v>3765448.0900000003</v>
      </c>
      <c r="T59" s="126">
        <f t="shared" si="0"/>
        <v>1045.870646890537</v>
      </c>
      <c r="U59" s="126">
        <v>1720.7419548370967</v>
      </c>
    </row>
    <row r="60" spans="1:21" s="67" customFormat="1" ht="61.5" x14ac:dyDescent="0.9">
      <c r="A60" s="67">
        <v>1</v>
      </c>
      <c r="B60" s="118">
        <f>SUBTOTAL(103,$A$16:A60)</f>
        <v>45</v>
      </c>
      <c r="C60" s="115" t="s">
        <v>543</v>
      </c>
      <c r="D60" s="122">
        <v>1984</v>
      </c>
      <c r="E60" s="127"/>
      <c r="F60" s="127" t="s">
        <v>274</v>
      </c>
      <c r="G60" s="122">
        <v>5</v>
      </c>
      <c r="H60" s="122">
        <v>5</v>
      </c>
      <c r="I60" s="126">
        <v>4850.1000000000004</v>
      </c>
      <c r="J60" s="126">
        <v>3669.1</v>
      </c>
      <c r="K60" s="126">
        <v>3669.1</v>
      </c>
      <c r="L60" s="124">
        <v>208</v>
      </c>
      <c r="M60" s="122" t="s">
        <v>272</v>
      </c>
      <c r="N60" s="122" t="s">
        <v>276</v>
      </c>
      <c r="O60" s="125" t="s">
        <v>1051</v>
      </c>
      <c r="P60" s="126">
        <v>4815288.3599999994</v>
      </c>
      <c r="Q60" s="126">
        <v>0</v>
      </c>
      <c r="R60" s="126">
        <v>0</v>
      </c>
      <c r="S60" s="126">
        <f t="shared" si="1"/>
        <v>4815288.3599999994</v>
      </c>
      <c r="T60" s="126">
        <f t="shared" si="0"/>
        <v>992.8224902579326</v>
      </c>
      <c r="U60" s="126">
        <v>1650.2348446423782</v>
      </c>
    </row>
    <row r="61" spans="1:21" s="67" customFormat="1" ht="61.5" x14ac:dyDescent="0.9">
      <c r="A61" s="67">
        <v>1</v>
      </c>
      <c r="B61" s="118">
        <f>SUBTOTAL(103,$A$16:A61)</f>
        <v>46</v>
      </c>
      <c r="C61" s="115" t="s">
        <v>544</v>
      </c>
      <c r="D61" s="122">
        <v>1988</v>
      </c>
      <c r="E61" s="127"/>
      <c r="F61" s="127" t="s">
        <v>321</v>
      </c>
      <c r="G61" s="122">
        <v>5</v>
      </c>
      <c r="H61" s="122">
        <v>5</v>
      </c>
      <c r="I61" s="126">
        <v>5202.1000000000004</v>
      </c>
      <c r="J61" s="126">
        <v>3872.5</v>
      </c>
      <c r="K61" s="126">
        <v>3697</v>
      </c>
      <c r="L61" s="124">
        <v>193</v>
      </c>
      <c r="M61" s="122" t="s">
        <v>272</v>
      </c>
      <c r="N61" s="122" t="s">
        <v>276</v>
      </c>
      <c r="O61" s="125" t="s">
        <v>1046</v>
      </c>
      <c r="P61" s="126">
        <v>4344134.7699999996</v>
      </c>
      <c r="Q61" s="126">
        <v>0</v>
      </c>
      <c r="R61" s="126">
        <v>0</v>
      </c>
      <c r="S61" s="126">
        <f t="shared" si="1"/>
        <v>4344134.7699999996</v>
      </c>
      <c r="T61" s="126">
        <f t="shared" si="0"/>
        <v>835.0732915553333</v>
      </c>
      <c r="U61" s="126">
        <v>1355.6555333423039</v>
      </c>
    </row>
    <row r="62" spans="1:21" s="67" customFormat="1" ht="61.5" x14ac:dyDescent="0.9">
      <c r="A62" s="67">
        <v>1</v>
      </c>
      <c r="B62" s="118">
        <f>SUBTOTAL(103,$A$16:A62)</f>
        <v>47</v>
      </c>
      <c r="C62" s="115" t="s">
        <v>545</v>
      </c>
      <c r="D62" s="122">
        <v>1987</v>
      </c>
      <c r="E62" s="127"/>
      <c r="F62" s="127" t="s">
        <v>321</v>
      </c>
      <c r="G62" s="122">
        <v>5</v>
      </c>
      <c r="H62" s="122">
        <v>3</v>
      </c>
      <c r="I62" s="126">
        <v>3164.6</v>
      </c>
      <c r="J62" s="126">
        <v>2306.6999999999998</v>
      </c>
      <c r="K62" s="126">
        <v>2254.6</v>
      </c>
      <c r="L62" s="124">
        <v>96</v>
      </c>
      <c r="M62" s="122" t="s">
        <v>272</v>
      </c>
      <c r="N62" s="122" t="s">
        <v>276</v>
      </c>
      <c r="O62" s="125" t="s">
        <v>1046</v>
      </c>
      <c r="P62" s="126">
        <v>2675102.6700000004</v>
      </c>
      <c r="Q62" s="126">
        <v>0</v>
      </c>
      <c r="R62" s="126">
        <v>0</v>
      </c>
      <c r="S62" s="126">
        <f t="shared" si="1"/>
        <v>2675102.6700000004</v>
      </c>
      <c r="T62" s="126">
        <f t="shared" si="0"/>
        <v>845.32094735511612</v>
      </c>
      <c r="U62" s="126">
        <v>1337.0894868229791</v>
      </c>
    </row>
    <row r="63" spans="1:21" s="67" customFormat="1" ht="61.5" x14ac:dyDescent="0.9">
      <c r="A63" s="67">
        <v>1</v>
      </c>
      <c r="B63" s="118">
        <f>SUBTOTAL(103,$A$16:A63)</f>
        <v>48</v>
      </c>
      <c r="C63" s="115" t="s">
        <v>546</v>
      </c>
      <c r="D63" s="122">
        <v>1952</v>
      </c>
      <c r="E63" s="127"/>
      <c r="F63" s="127" t="s">
        <v>274</v>
      </c>
      <c r="G63" s="122">
        <v>2</v>
      </c>
      <c r="H63" s="122">
        <v>2</v>
      </c>
      <c r="I63" s="126">
        <v>796</v>
      </c>
      <c r="J63" s="126">
        <v>723.4</v>
      </c>
      <c r="K63" s="126">
        <v>571.67999999999995</v>
      </c>
      <c r="L63" s="124">
        <v>47</v>
      </c>
      <c r="M63" s="122" t="s">
        <v>272</v>
      </c>
      <c r="N63" s="122" t="s">
        <v>276</v>
      </c>
      <c r="O63" s="125" t="s">
        <v>1048</v>
      </c>
      <c r="P63" s="126">
        <v>2302288.7200000002</v>
      </c>
      <c r="Q63" s="126">
        <v>0</v>
      </c>
      <c r="R63" s="126">
        <v>0</v>
      </c>
      <c r="S63" s="126">
        <f t="shared" si="1"/>
        <v>2302288.7200000002</v>
      </c>
      <c r="T63" s="126">
        <f t="shared" si="0"/>
        <v>2892.3225125628142</v>
      </c>
      <c r="U63" s="126">
        <v>4882.8786505025128</v>
      </c>
    </row>
    <row r="64" spans="1:21" s="67" customFormat="1" ht="61.5" x14ac:dyDescent="0.9">
      <c r="A64" s="67">
        <v>1</v>
      </c>
      <c r="B64" s="118">
        <f>SUBTOTAL(103,$A$16:A64)</f>
        <v>49</v>
      </c>
      <c r="C64" s="115" t="s">
        <v>547</v>
      </c>
      <c r="D64" s="122">
        <v>1989</v>
      </c>
      <c r="E64" s="127"/>
      <c r="F64" s="127" t="s">
        <v>321</v>
      </c>
      <c r="G64" s="122">
        <v>5</v>
      </c>
      <c r="H64" s="122">
        <v>4</v>
      </c>
      <c r="I64" s="126">
        <v>4185.3</v>
      </c>
      <c r="J64" s="126">
        <v>3109.7</v>
      </c>
      <c r="K64" s="126">
        <v>3039.3</v>
      </c>
      <c r="L64" s="124">
        <v>144</v>
      </c>
      <c r="M64" s="122" t="s">
        <v>272</v>
      </c>
      <c r="N64" s="122" t="s">
        <v>276</v>
      </c>
      <c r="O64" s="125" t="s">
        <v>1046</v>
      </c>
      <c r="P64" s="126">
        <v>3507491.94</v>
      </c>
      <c r="Q64" s="126">
        <v>0</v>
      </c>
      <c r="R64" s="126">
        <v>0</v>
      </c>
      <c r="S64" s="126">
        <f t="shared" si="1"/>
        <v>3507491.94</v>
      </c>
      <c r="T64" s="126">
        <f t="shared" si="0"/>
        <v>838.05030463766036</v>
      </c>
      <c r="U64" s="126">
        <v>1352.8421451269919</v>
      </c>
    </row>
    <row r="65" spans="1:21" s="67" customFormat="1" ht="61.5" x14ac:dyDescent="0.9">
      <c r="A65" s="67">
        <v>1</v>
      </c>
      <c r="B65" s="118">
        <f>SUBTOTAL(103,$A$16:A65)</f>
        <v>50</v>
      </c>
      <c r="C65" s="115" t="s">
        <v>548</v>
      </c>
      <c r="D65" s="122">
        <v>1958</v>
      </c>
      <c r="E65" s="127"/>
      <c r="F65" s="127" t="s">
        <v>274</v>
      </c>
      <c r="G65" s="122">
        <v>3</v>
      </c>
      <c r="H65" s="122">
        <v>2</v>
      </c>
      <c r="I65" s="126">
        <v>3520.2</v>
      </c>
      <c r="J65" s="126">
        <v>1802.9</v>
      </c>
      <c r="K65" s="126">
        <v>1802.9</v>
      </c>
      <c r="L65" s="124">
        <v>64</v>
      </c>
      <c r="M65" s="122" t="s">
        <v>272</v>
      </c>
      <c r="N65" s="122" t="s">
        <v>276</v>
      </c>
      <c r="O65" s="125" t="s">
        <v>1047</v>
      </c>
      <c r="P65" s="126">
        <v>4425362.24</v>
      </c>
      <c r="Q65" s="126">
        <v>0</v>
      </c>
      <c r="R65" s="126">
        <v>0</v>
      </c>
      <c r="S65" s="126">
        <f t="shared" si="1"/>
        <v>4425362.24</v>
      </c>
      <c r="T65" s="126">
        <f t="shared" si="0"/>
        <v>1257.1337537639909</v>
      </c>
      <c r="U65" s="126">
        <v>2041.7098602352139</v>
      </c>
    </row>
    <row r="66" spans="1:21" s="67" customFormat="1" ht="61.5" x14ac:dyDescent="0.9">
      <c r="A66" s="67">
        <v>1</v>
      </c>
      <c r="B66" s="118">
        <f>SUBTOTAL(103,$A$16:A66)</f>
        <v>51</v>
      </c>
      <c r="C66" s="115" t="s">
        <v>549</v>
      </c>
      <c r="D66" s="122">
        <v>1997</v>
      </c>
      <c r="E66" s="127"/>
      <c r="F66" s="127" t="s">
        <v>274</v>
      </c>
      <c r="G66" s="122">
        <v>4</v>
      </c>
      <c r="H66" s="122">
        <v>3</v>
      </c>
      <c r="I66" s="126">
        <v>2862.3</v>
      </c>
      <c r="J66" s="126">
        <v>2037.4</v>
      </c>
      <c r="K66" s="126">
        <v>2037.4</v>
      </c>
      <c r="L66" s="124">
        <v>98</v>
      </c>
      <c r="M66" s="122" t="s">
        <v>272</v>
      </c>
      <c r="N66" s="122" t="s">
        <v>276</v>
      </c>
      <c r="O66" s="125" t="s">
        <v>1051</v>
      </c>
      <c r="P66" s="126">
        <v>3666132.39</v>
      </c>
      <c r="Q66" s="126">
        <v>0</v>
      </c>
      <c r="R66" s="126">
        <v>0</v>
      </c>
      <c r="S66" s="126">
        <f t="shared" si="1"/>
        <v>3666132.39</v>
      </c>
      <c r="T66" s="126">
        <f t="shared" si="0"/>
        <v>1280.8344303532124</v>
      </c>
      <c r="U66" s="126">
        <v>2070.0990322467942</v>
      </c>
    </row>
    <row r="67" spans="1:21" s="67" customFormat="1" ht="61.5" x14ac:dyDescent="0.9">
      <c r="A67" s="67">
        <v>1</v>
      </c>
      <c r="B67" s="118">
        <f>SUBTOTAL(103,$A$16:A67)</f>
        <v>52</v>
      </c>
      <c r="C67" s="115" t="s">
        <v>550</v>
      </c>
      <c r="D67" s="122">
        <v>1995</v>
      </c>
      <c r="E67" s="127"/>
      <c r="F67" s="127" t="s">
        <v>321</v>
      </c>
      <c r="G67" s="122" t="s">
        <v>361</v>
      </c>
      <c r="H67" s="122">
        <v>4</v>
      </c>
      <c r="I67" s="126">
        <v>8497.7000000000007</v>
      </c>
      <c r="J67" s="126">
        <v>6287.1</v>
      </c>
      <c r="K67" s="126">
        <v>5664.6</v>
      </c>
      <c r="L67" s="124">
        <v>206</v>
      </c>
      <c r="M67" s="122" t="s">
        <v>272</v>
      </c>
      <c r="N67" s="122" t="s">
        <v>276</v>
      </c>
      <c r="O67" s="125" t="s">
        <v>1046</v>
      </c>
      <c r="P67" s="126">
        <v>4995256.4400000004</v>
      </c>
      <c r="Q67" s="126">
        <v>0</v>
      </c>
      <c r="R67" s="126">
        <v>0</v>
      </c>
      <c r="S67" s="126">
        <f t="shared" si="1"/>
        <v>4995256.4400000004</v>
      </c>
      <c r="T67" s="126">
        <f t="shared" si="0"/>
        <v>587.83628981959828</v>
      </c>
      <c r="U67" s="126">
        <v>963.40071631147237</v>
      </c>
    </row>
    <row r="68" spans="1:21" s="67" customFormat="1" ht="61.5" x14ac:dyDescent="0.9">
      <c r="A68" s="67">
        <v>1</v>
      </c>
      <c r="B68" s="118">
        <f>SUBTOTAL(103,$A$16:A68)</f>
        <v>53</v>
      </c>
      <c r="C68" s="115" t="s">
        <v>551</v>
      </c>
      <c r="D68" s="122">
        <v>1988</v>
      </c>
      <c r="E68" s="127"/>
      <c r="F68" s="127" t="s">
        <v>274</v>
      </c>
      <c r="G68" s="122">
        <v>2</v>
      </c>
      <c r="H68" s="122">
        <v>2</v>
      </c>
      <c r="I68" s="126">
        <v>1063.8</v>
      </c>
      <c r="J68" s="126">
        <v>570.29999999999995</v>
      </c>
      <c r="K68" s="126">
        <v>570.29999999999995</v>
      </c>
      <c r="L68" s="124">
        <v>36</v>
      </c>
      <c r="M68" s="122" t="s">
        <v>272</v>
      </c>
      <c r="N68" s="122" t="s">
        <v>276</v>
      </c>
      <c r="O68" s="125" t="s">
        <v>1051</v>
      </c>
      <c r="P68" s="126">
        <v>2348490.67</v>
      </c>
      <c r="Q68" s="126">
        <v>0</v>
      </c>
      <c r="R68" s="126">
        <v>0</v>
      </c>
      <c r="S68" s="126">
        <f t="shared" si="1"/>
        <v>2348490.67</v>
      </c>
      <c r="T68" s="126">
        <f t="shared" si="0"/>
        <v>2207.6430438052266</v>
      </c>
      <c r="U68" s="126">
        <v>3584.2658864448204</v>
      </c>
    </row>
    <row r="69" spans="1:21" s="67" customFormat="1" ht="61.5" x14ac:dyDescent="0.9">
      <c r="A69" s="67">
        <v>1</v>
      </c>
      <c r="B69" s="118">
        <f>SUBTOTAL(103,$A$16:A69)</f>
        <v>54</v>
      </c>
      <c r="C69" s="115" t="s">
        <v>552</v>
      </c>
      <c r="D69" s="122">
        <v>1987</v>
      </c>
      <c r="E69" s="127"/>
      <c r="F69" s="127" t="s">
        <v>274</v>
      </c>
      <c r="G69" s="122">
        <v>3</v>
      </c>
      <c r="H69" s="122">
        <v>3</v>
      </c>
      <c r="I69" s="126">
        <v>2006</v>
      </c>
      <c r="J69" s="126">
        <v>1853.6</v>
      </c>
      <c r="K69" s="126">
        <v>1804.6</v>
      </c>
      <c r="L69" s="124">
        <v>96</v>
      </c>
      <c r="M69" s="122" t="s">
        <v>272</v>
      </c>
      <c r="N69" s="122" t="s">
        <v>276</v>
      </c>
      <c r="O69" s="125" t="s">
        <v>1052</v>
      </c>
      <c r="P69" s="126">
        <v>4020280.68</v>
      </c>
      <c r="Q69" s="126">
        <v>0</v>
      </c>
      <c r="R69" s="126">
        <v>0</v>
      </c>
      <c r="S69" s="126">
        <f t="shared" si="1"/>
        <v>4020280.68</v>
      </c>
      <c r="T69" s="126">
        <f t="shared" si="0"/>
        <v>2004.1279561316053</v>
      </c>
      <c r="U69" s="126">
        <v>3212.8037637088732</v>
      </c>
    </row>
    <row r="70" spans="1:21" s="67" customFormat="1" ht="61.5" x14ac:dyDescent="0.9">
      <c r="A70" s="67">
        <v>1</v>
      </c>
      <c r="B70" s="118">
        <f>SUBTOTAL(103,$A$16:A70)</f>
        <v>55</v>
      </c>
      <c r="C70" s="115" t="s">
        <v>1479</v>
      </c>
      <c r="D70" s="122">
        <v>1971</v>
      </c>
      <c r="E70" s="127"/>
      <c r="F70" s="127" t="s">
        <v>274</v>
      </c>
      <c r="G70" s="122">
        <v>9</v>
      </c>
      <c r="H70" s="122">
        <v>1</v>
      </c>
      <c r="I70" s="126">
        <v>1902</v>
      </c>
      <c r="J70" s="126">
        <v>1902</v>
      </c>
      <c r="K70" s="126">
        <v>1785.6</v>
      </c>
      <c r="L70" s="124">
        <v>135</v>
      </c>
      <c r="M70" s="122" t="s">
        <v>272</v>
      </c>
      <c r="N70" s="122" t="s">
        <v>276</v>
      </c>
      <c r="O70" s="125" t="s">
        <v>1150</v>
      </c>
      <c r="P70" s="126">
        <v>1604223.25</v>
      </c>
      <c r="Q70" s="126">
        <v>0</v>
      </c>
      <c r="R70" s="126">
        <v>0</v>
      </c>
      <c r="S70" s="126">
        <f t="shared" si="1"/>
        <v>1604223.25</v>
      </c>
      <c r="T70" s="126">
        <f t="shared" si="0"/>
        <v>843.44019453207147</v>
      </c>
      <c r="U70" s="126">
        <v>905.99</v>
      </c>
    </row>
    <row r="71" spans="1:21" s="67" customFormat="1" ht="61.5" x14ac:dyDescent="0.9">
      <c r="A71" s="67">
        <v>1</v>
      </c>
      <c r="B71" s="118">
        <f>SUBTOTAL(103,$A$16:A71)</f>
        <v>56</v>
      </c>
      <c r="C71" s="115" t="s">
        <v>1508</v>
      </c>
      <c r="D71" s="122">
        <v>1961</v>
      </c>
      <c r="E71" s="127"/>
      <c r="F71" s="127" t="s">
        <v>274</v>
      </c>
      <c r="G71" s="122">
        <v>5</v>
      </c>
      <c r="H71" s="122">
        <v>3</v>
      </c>
      <c r="I71" s="126">
        <v>2564.1</v>
      </c>
      <c r="J71" s="126">
        <v>2365.9</v>
      </c>
      <c r="K71" s="126">
        <v>2308.6</v>
      </c>
      <c r="L71" s="124">
        <v>130</v>
      </c>
      <c r="M71" s="122" t="s">
        <v>272</v>
      </c>
      <c r="N71" s="122" t="s">
        <v>276</v>
      </c>
      <c r="O71" s="125" t="s">
        <v>1491</v>
      </c>
      <c r="P71" s="126">
        <v>3884747.5999999996</v>
      </c>
      <c r="Q71" s="126">
        <v>0</v>
      </c>
      <c r="R71" s="126">
        <v>0</v>
      </c>
      <c r="S71" s="126">
        <f t="shared" si="1"/>
        <v>3884747.5999999996</v>
      </c>
      <c r="T71" s="126">
        <f t="shared" si="0"/>
        <v>1515.053079053079</v>
      </c>
      <c r="U71" s="126">
        <v>1692.54</v>
      </c>
    </row>
    <row r="72" spans="1:21" s="67" customFormat="1" ht="61.5" x14ac:dyDescent="0.9">
      <c r="A72" s="67">
        <v>1</v>
      </c>
      <c r="B72" s="118">
        <f>SUBTOTAL(103,$A$16:A72)</f>
        <v>57</v>
      </c>
      <c r="C72" s="115" t="s">
        <v>1480</v>
      </c>
      <c r="D72" s="122">
        <v>1973</v>
      </c>
      <c r="E72" s="127"/>
      <c r="F72" s="127" t="s">
        <v>274</v>
      </c>
      <c r="G72" s="122">
        <v>9</v>
      </c>
      <c r="H72" s="122">
        <v>1</v>
      </c>
      <c r="I72" s="126">
        <v>1958.4</v>
      </c>
      <c r="J72" s="126">
        <v>1941.8</v>
      </c>
      <c r="K72" s="126">
        <v>1860.4</v>
      </c>
      <c r="L72" s="124">
        <v>135</v>
      </c>
      <c r="M72" s="122" t="s">
        <v>272</v>
      </c>
      <c r="N72" s="122" t="s">
        <v>276</v>
      </c>
      <c r="O72" s="125" t="s">
        <v>1492</v>
      </c>
      <c r="P72" s="126">
        <v>2248303</v>
      </c>
      <c r="Q72" s="126">
        <v>0</v>
      </c>
      <c r="R72" s="126">
        <v>0</v>
      </c>
      <c r="S72" s="126">
        <f t="shared" si="1"/>
        <v>2248303</v>
      </c>
      <c r="T72" s="126">
        <f t="shared" si="0"/>
        <v>1148.0305351307188</v>
      </c>
      <c r="U72" s="126">
        <v>1926.54</v>
      </c>
    </row>
    <row r="73" spans="1:21" s="67" customFormat="1" ht="61.5" x14ac:dyDescent="0.9">
      <c r="A73" s="67">
        <v>1</v>
      </c>
      <c r="B73" s="118">
        <f>SUBTOTAL(103,$A$16:A73)</f>
        <v>58</v>
      </c>
      <c r="C73" s="115" t="s">
        <v>1481</v>
      </c>
      <c r="D73" s="122">
        <v>1963</v>
      </c>
      <c r="E73" s="127"/>
      <c r="F73" s="127" t="s">
        <v>274</v>
      </c>
      <c r="G73" s="122">
        <v>5</v>
      </c>
      <c r="H73" s="122">
        <v>3</v>
      </c>
      <c r="I73" s="126">
        <v>2525.6</v>
      </c>
      <c r="J73" s="126">
        <v>1560.2</v>
      </c>
      <c r="K73" s="126">
        <v>1560.2</v>
      </c>
      <c r="L73" s="124">
        <v>130</v>
      </c>
      <c r="M73" s="122" t="s">
        <v>272</v>
      </c>
      <c r="N73" s="122" t="s">
        <v>276</v>
      </c>
      <c r="O73" s="125" t="s">
        <v>1493</v>
      </c>
      <c r="P73" s="126">
        <v>4273347.84</v>
      </c>
      <c r="Q73" s="126">
        <v>0</v>
      </c>
      <c r="R73" s="126">
        <v>0</v>
      </c>
      <c r="S73" s="126">
        <f t="shared" si="1"/>
        <v>4273347.84</v>
      </c>
      <c r="T73" s="126">
        <f t="shared" si="0"/>
        <v>1692.0129236617042</v>
      </c>
      <c r="U73" s="126">
        <v>1867.2</v>
      </c>
    </row>
    <row r="74" spans="1:21" s="67" customFormat="1" ht="61.5" x14ac:dyDescent="0.9">
      <c r="A74" s="67">
        <v>1</v>
      </c>
      <c r="B74" s="118">
        <f>SUBTOTAL(103,$A$16:A74)</f>
        <v>59</v>
      </c>
      <c r="C74" s="115" t="s">
        <v>1482</v>
      </c>
      <c r="D74" s="122">
        <v>1960</v>
      </c>
      <c r="E74" s="127"/>
      <c r="F74" s="127" t="s">
        <v>274</v>
      </c>
      <c r="G74" s="122">
        <v>2</v>
      </c>
      <c r="H74" s="122">
        <v>2</v>
      </c>
      <c r="I74" s="126">
        <v>662.9</v>
      </c>
      <c r="J74" s="126">
        <v>622.9</v>
      </c>
      <c r="K74" s="126">
        <v>622.9</v>
      </c>
      <c r="L74" s="124">
        <v>40</v>
      </c>
      <c r="M74" s="122" t="s">
        <v>272</v>
      </c>
      <c r="N74" s="122" t="s">
        <v>276</v>
      </c>
      <c r="O74" s="125" t="s">
        <v>1427</v>
      </c>
      <c r="P74" s="126">
        <v>2324213.5</v>
      </c>
      <c r="Q74" s="126">
        <v>0</v>
      </c>
      <c r="R74" s="126">
        <v>0</v>
      </c>
      <c r="S74" s="126">
        <f t="shared" si="1"/>
        <v>2324213.5</v>
      </c>
      <c r="T74" s="126">
        <f t="shared" si="0"/>
        <v>3506.1298838437169</v>
      </c>
      <c r="U74" s="126">
        <v>6080.94</v>
      </c>
    </row>
    <row r="75" spans="1:21" s="67" customFormat="1" ht="61.5" x14ac:dyDescent="0.9">
      <c r="A75" s="67">
        <v>1</v>
      </c>
      <c r="B75" s="118">
        <f>SUBTOTAL(103,$A$16:A75)</f>
        <v>60</v>
      </c>
      <c r="C75" s="115" t="s">
        <v>1174</v>
      </c>
      <c r="D75" s="122">
        <v>1991</v>
      </c>
      <c r="E75" s="127"/>
      <c r="F75" s="127" t="s">
        <v>321</v>
      </c>
      <c r="G75" s="122">
        <v>9</v>
      </c>
      <c r="H75" s="122">
        <v>3</v>
      </c>
      <c r="I75" s="126">
        <v>6815.3</v>
      </c>
      <c r="J75" s="126">
        <v>6295.6</v>
      </c>
      <c r="K75" s="126">
        <v>5711.2</v>
      </c>
      <c r="L75" s="124">
        <v>251</v>
      </c>
      <c r="M75" s="122" t="s">
        <v>272</v>
      </c>
      <c r="N75" s="122" t="s">
        <v>276</v>
      </c>
      <c r="O75" s="125" t="s">
        <v>359</v>
      </c>
      <c r="P75" s="126">
        <v>4363443.18</v>
      </c>
      <c r="Q75" s="126">
        <v>0</v>
      </c>
      <c r="R75" s="126">
        <v>0</v>
      </c>
      <c r="S75" s="126">
        <f t="shared" si="1"/>
        <v>4363443.18</v>
      </c>
      <c r="T75" s="126">
        <f t="shared" si="0"/>
        <v>640.24227546843122</v>
      </c>
      <c r="U75" s="126">
        <v>989.67162120522937</v>
      </c>
    </row>
    <row r="76" spans="1:21" s="67" customFormat="1" ht="61.5" x14ac:dyDescent="0.9">
      <c r="A76" s="67">
        <v>1</v>
      </c>
      <c r="B76" s="118">
        <f>SUBTOTAL(103,$A$16:A76)</f>
        <v>61</v>
      </c>
      <c r="C76" s="115" t="s">
        <v>1175</v>
      </c>
      <c r="D76" s="122">
        <v>1992</v>
      </c>
      <c r="E76" s="127"/>
      <c r="F76" s="127" t="s">
        <v>321</v>
      </c>
      <c r="G76" s="122">
        <v>9</v>
      </c>
      <c r="H76" s="122">
        <v>2</v>
      </c>
      <c r="I76" s="126">
        <v>4585.8</v>
      </c>
      <c r="J76" s="126">
        <v>3787.1</v>
      </c>
      <c r="K76" s="126">
        <v>3747.4</v>
      </c>
      <c r="L76" s="124">
        <v>150</v>
      </c>
      <c r="M76" s="122" t="s">
        <v>272</v>
      </c>
      <c r="N76" s="122" t="s">
        <v>276</v>
      </c>
      <c r="O76" s="125" t="s">
        <v>359</v>
      </c>
      <c r="P76" s="126">
        <v>2960821.63</v>
      </c>
      <c r="Q76" s="126">
        <v>0</v>
      </c>
      <c r="R76" s="126">
        <v>0</v>
      </c>
      <c r="S76" s="126">
        <f t="shared" si="1"/>
        <v>2960821.63</v>
      </c>
      <c r="T76" s="126">
        <f t="shared" si="0"/>
        <v>645.64996947097552</v>
      </c>
      <c r="U76" s="126">
        <v>980.54995856775258</v>
      </c>
    </row>
    <row r="77" spans="1:21" s="67" customFormat="1" ht="61.5" x14ac:dyDescent="0.9">
      <c r="A77" s="67">
        <v>1</v>
      </c>
      <c r="B77" s="118">
        <f>SUBTOTAL(103,$A$16:A77)</f>
        <v>62</v>
      </c>
      <c r="C77" s="115" t="s">
        <v>1176</v>
      </c>
      <c r="D77" s="122">
        <v>1992</v>
      </c>
      <c r="E77" s="127"/>
      <c r="F77" s="127" t="s">
        <v>321</v>
      </c>
      <c r="G77" s="122">
        <v>9</v>
      </c>
      <c r="H77" s="122">
        <v>2</v>
      </c>
      <c r="I77" s="126">
        <v>4454.5</v>
      </c>
      <c r="J77" s="126">
        <v>3719.4</v>
      </c>
      <c r="K77" s="126">
        <v>3227.6</v>
      </c>
      <c r="L77" s="124">
        <v>183</v>
      </c>
      <c r="M77" s="122" t="s">
        <v>272</v>
      </c>
      <c r="N77" s="122" t="s">
        <v>276</v>
      </c>
      <c r="O77" s="125" t="s">
        <v>359</v>
      </c>
      <c r="P77" s="126">
        <v>2960821.63</v>
      </c>
      <c r="Q77" s="126">
        <v>0</v>
      </c>
      <c r="R77" s="126">
        <v>0</v>
      </c>
      <c r="S77" s="126">
        <f t="shared" si="1"/>
        <v>2960821.63</v>
      </c>
      <c r="T77" s="126">
        <f t="shared" si="0"/>
        <v>664.68102592883599</v>
      </c>
      <c r="U77" s="126">
        <v>1009.452463800651</v>
      </c>
    </row>
    <row r="78" spans="1:21" s="67" customFormat="1" ht="61.5" x14ac:dyDescent="0.9">
      <c r="A78" s="67">
        <v>1</v>
      </c>
      <c r="B78" s="118">
        <f>SUBTOTAL(103,$A$16:A78)</f>
        <v>63</v>
      </c>
      <c r="C78" s="115" t="s">
        <v>1476</v>
      </c>
      <c r="D78" s="122">
        <v>1992</v>
      </c>
      <c r="E78" s="127"/>
      <c r="F78" s="127" t="s">
        <v>321</v>
      </c>
      <c r="G78" s="122">
        <v>10</v>
      </c>
      <c r="H78" s="122">
        <v>1</v>
      </c>
      <c r="I78" s="126">
        <v>2544.98</v>
      </c>
      <c r="J78" s="126">
        <v>2436.8000000000002</v>
      </c>
      <c r="K78" s="126">
        <v>2201.8000000000002</v>
      </c>
      <c r="L78" s="124">
        <v>108</v>
      </c>
      <c r="M78" s="122" t="s">
        <v>272</v>
      </c>
      <c r="N78" s="122" t="s">
        <v>276</v>
      </c>
      <c r="O78" s="125" t="s">
        <v>1492</v>
      </c>
      <c r="P78" s="126">
        <v>1527100.63</v>
      </c>
      <c r="Q78" s="126">
        <v>0</v>
      </c>
      <c r="R78" s="126">
        <v>0</v>
      </c>
      <c r="S78" s="126">
        <f t="shared" si="1"/>
        <v>1527100.63</v>
      </c>
      <c r="T78" s="126">
        <f t="shared" ref="T78:T141" si="2">P78/I78</f>
        <v>600.04425575053631</v>
      </c>
      <c r="U78" s="126">
        <v>883.43</v>
      </c>
    </row>
    <row r="79" spans="1:21" s="67" customFormat="1" ht="61.5" x14ac:dyDescent="0.9">
      <c r="A79" s="67">
        <v>1</v>
      </c>
      <c r="B79" s="118">
        <f>SUBTOTAL(103,$A$16:A79)</f>
        <v>64</v>
      </c>
      <c r="C79" s="115" t="s">
        <v>1177</v>
      </c>
      <c r="D79" s="122">
        <v>1956</v>
      </c>
      <c r="E79" s="127"/>
      <c r="F79" s="127" t="s">
        <v>274</v>
      </c>
      <c r="G79" s="122">
        <v>5</v>
      </c>
      <c r="H79" s="122">
        <v>6</v>
      </c>
      <c r="I79" s="126">
        <v>6143.7</v>
      </c>
      <c r="J79" s="126">
        <v>5611.8</v>
      </c>
      <c r="K79" s="126">
        <v>4995.2</v>
      </c>
      <c r="L79" s="124">
        <v>163</v>
      </c>
      <c r="M79" s="122" t="s">
        <v>272</v>
      </c>
      <c r="N79" s="122" t="s">
        <v>351</v>
      </c>
      <c r="O79" s="125" t="s">
        <v>1417</v>
      </c>
      <c r="P79" s="126">
        <v>10921207.75</v>
      </c>
      <c r="Q79" s="126">
        <v>0</v>
      </c>
      <c r="R79" s="126">
        <v>0</v>
      </c>
      <c r="S79" s="126">
        <f t="shared" si="1"/>
        <v>10921207.75</v>
      </c>
      <c r="T79" s="126">
        <f t="shared" si="2"/>
        <v>1777.6271220925501</v>
      </c>
      <c r="U79" s="126">
        <v>7103.364720966194</v>
      </c>
    </row>
    <row r="80" spans="1:21" s="67" customFormat="1" ht="61.5" x14ac:dyDescent="0.9">
      <c r="A80" s="67">
        <v>1</v>
      </c>
      <c r="B80" s="118">
        <f>SUBTOTAL(103,$A$16:A80)</f>
        <v>65</v>
      </c>
      <c r="C80" s="115" t="s">
        <v>1178</v>
      </c>
      <c r="D80" s="122">
        <v>1959</v>
      </c>
      <c r="E80" s="127"/>
      <c r="F80" s="127" t="s">
        <v>274</v>
      </c>
      <c r="G80" s="122">
        <v>5</v>
      </c>
      <c r="H80" s="122">
        <v>4</v>
      </c>
      <c r="I80" s="126">
        <v>6876.6</v>
      </c>
      <c r="J80" s="126">
        <v>5622.29</v>
      </c>
      <c r="K80" s="126">
        <v>5003.59</v>
      </c>
      <c r="L80" s="124">
        <v>154</v>
      </c>
      <c r="M80" s="122" t="s">
        <v>272</v>
      </c>
      <c r="N80" s="122" t="s">
        <v>276</v>
      </c>
      <c r="O80" s="125" t="s">
        <v>1418</v>
      </c>
      <c r="P80" s="126">
        <v>5593571.1100000003</v>
      </c>
      <c r="Q80" s="126">
        <v>0</v>
      </c>
      <c r="R80" s="126">
        <v>0</v>
      </c>
      <c r="S80" s="126">
        <f t="shared" ref="S80:S119" si="3">P80-Q80-R80</f>
        <v>5593571.1100000003</v>
      </c>
      <c r="T80" s="126">
        <f t="shared" si="2"/>
        <v>813.42103801297151</v>
      </c>
      <c r="U80" s="126">
        <v>4223.4162194107548</v>
      </c>
    </row>
    <row r="81" spans="1:21" s="67" customFormat="1" ht="61.5" x14ac:dyDescent="0.9">
      <c r="A81" s="67">
        <v>1</v>
      </c>
      <c r="B81" s="118">
        <f>SUBTOTAL(103,$A$16:A81)</f>
        <v>66</v>
      </c>
      <c r="C81" s="115" t="s">
        <v>1179</v>
      </c>
      <c r="D81" s="122">
        <v>1974</v>
      </c>
      <c r="E81" s="127"/>
      <c r="F81" s="127" t="s">
        <v>274</v>
      </c>
      <c r="G81" s="122">
        <v>5</v>
      </c>
      <c r="H81" s="122">
        <v>4</v>
      </c>
      <c r="I81" s="126">
        <v>4917</v>
      </c>
      <c r="J81" s="126">
        <v>4801.3</v>
      </c>
      <c r="K81" s="126">
        <v>4321.2</v>
      </c>
      <c r="L81" s="124">
        <v>125</v>
      </c>
      <c r="M81" s="122" t="s">
        <v>272</v>
      </c>
      <c r="N81" s="122" t="s">
        <v>276</v>
      </c>
      <c r="O81" s="125" t="s">
        <v>1044</v>
      </c>
      <c r="P81" s="126">
        <v>2451732.5</v>
      </c>
      <c r="Q81" s="126">
        <v>0</v>
      </c>
      <c r="R81" s="126">
        <v>0</v>
      </c>
      <c r="S81" s="126">
        <f t="shared" si="3"/>
        <v>2451732.5</v>
      </c>
      <c r="T81" s="126">
        <f t="shared" si="2"/>
        <v>498.62365263371976</v>
      </c>
      <c r="U81" s="126">
        <v>1534.4521578198087</v>
      </c>
    </row>
    <row r="82" spans="1:21" s="67" customFormat="1" ht="61.5" x14ac:dyDescent="0.9">
      <c r="A82" s="67">
        <v>1</v>
      </c>
      <c r="B82" s="118">
        <f>SUBTOTAL(103,$A$16:A82)</f>
        <v>67</v>
      </c>
      <c r="C82" s="115" t="s">
        <v>1180</v>
      </c>
      <c r="D82" s="122">
        <v>1972</v>
      </c>
      <c r="E82" s="127"/>
      <c r="F82" s="127" t="s">
        <v>274</v>
      </c>
      <c r="G82" s="122">
        <v>4</v>
      </c>
      <c r="H82" s="122">
        <v>1</v>
      </c>
      <c r="I82" s="126">
        <v>772</v>
      </c>
      <c r="J82" s="126">
        <v>596</v>
      </c>
      <c r="K82" s="126">
        <v>375</v>
      </c>
      <c r="L82" s="124">
        <v>26</v>
      </c>
      <c r="M82" s="122" t="s">
        <v>272</v>
      </c>
      <c r="N82" s="122" t="s">
        <v>276</v>
      </c>
      <c r="O82" s="125" t="s">
        <v>1419</v>
      </c>
      <c r="P82" s="126">
        <v>859287.1</v>
      </c>
      <c r="Q82" s="126">
        <v>0</v>
      </c>
      <c r="R82" s="126">
        <v>0</v>
      </c>
      <c r="S82" s="126">
        <f t="shared" si="3"/>
        <v>859287.1</v>
      </c>
      <c r="T82" s="126">
        <f t="shared" si="2"/>
        <v>1113.0661917098446</v>
      </c>
      <c r="U82" s="126">
        <v>3279.0007862694297</v>
      </c>
    </row>
    <row r="83" spans="1:21" s="67" customFormat="1" ht="61.5" x14ac:dyDescent="0.9">
      <c r="A83" s="67">
        <v>1</v>
      </c>
      <c r="B83" s="118">
        <f>SUBTOTAL(103,$A$16:A83)</f>
        <v>68</v>
      </c>
      <c r="C83" s="115" t="s">
        <v>1181</v>
      </c>
      <c r="D83" s="122">
        <v>1975</v>
      </c>
      <c r="E83" s="127"/>
      <c r="F83" s="127" t="s">
        <v>274</v>
      </c>
      <c r="G83" s="122">
        <v>5</v>
      </c>
      <c r="H83" s="122">
        <v>3</v>
      </c>
      <c r="I83" s="126">
        <v>2962.8</v>
      </c>
      <c r="J83" s="126">
        <v>2688.5</v>
      </c>
      <c r="K83" s="126">
        <v>2688.5</v>
      </c>
      <c r="L83" s="124">
        <v>96</v>
      </c>
      <c r="M83" s="122" t="s">
        <v>272</v>
      </c>
      <c r="N83" s="122" t="s">
        <v>276</v>
      </c>
      <c r="O83" s="125" t="s">
        <v>360</v>
      </c>
      <c r="P83" s="126">
        <v>3483381.3</v>
      </c>
      <c r="Q83" s="126">
        <v>0</v>
      </c>
      <c r="R83" s="126">
        <v>0</v>
      </c>
      <c r="S83" s="126">
        <f t="shared" si="3"/>
        <v>3483381.3</v>
      </c>
      <c r="T83" s="126">
        <f t="shared" si="2"/>
        <v>1175.7058525718912</v>
      </c>
      <c r="U83" s="126">
        <v>2077.9390960915348</v>
      </c>
    </row>
    <row r="84" spans="1:21" s="67" customFormat="1" ht="61.5" x14ac:dyDescent="0.9">
      <c r="A84" s="67">
        <v>1</v>
      </c>
      <c r="B84" s="118">
        <f>SUBTOTAL(103,$A$16:A84)</f>
        <v>69</v>
      </c>
      <c r="C84" s="115" t="s">
        <v>1182</v>
      </c>
      <c r="D84" s="122">
        <v>1974</v>
      </c>
      <c r="E84" s="127"/>
      <c r="F84" s="127" t="s">
        <v>274</v>
      </c>
      <c r="G84" s="122">
        <v>6</v>
      </c>
      <c r="H84" s="122">
        <v>1</v>
      </c>
      <c r="I84" s="126">
        <v>938.4</v>
      </c>
      <c r="J84" s="126">
        <v>865.7</v>
      </c>
      <c r="K84" s="126">
        <v>563.9</v>
      </c>
      <c r="L84" s="124">
        <v>22</v>
      </c>
      <c r="M84" s="122" t="s">
        <v>272</v>
      </c>
      <c r="N84" s="122" t="s">
        <v>276</v>
      </c>
      <c r="O84" s="125" t="s">
        <v>359</v>
      </c>
      <c r="P84" s="126">
        <v>4301674.5999999996</v>
      </c>
      <c r="Q84" s="126">
        <v>0</v>
      </c>
      <c r="R84" s="126">
        <v>0</v>
      </c>
      <c r="S84" s="126">
        <f t="shared" si="3"/>
        <v>4301674.5999999996</v>
      </c>
      <c r="T84" s="126">
        <f t="shared" si="2"/>
        <v>4584.0522165387893</v>
      </c>
      <c r="U84" s="126">
        <v>9089.9502088661557</v>
      </c>
    </row>
    <row r="85" spans="1:21" s="67" customFormat="1" ht="61.5" x14ac:dyDescent="0.9">
      <c r="A85" s="67">
        <v>1</v>
      </c>
      <c r="B85" s="118">
        <f>SUBTOTAL(103,$A$16:A85)</f>
        <v>70</v>
      </c>
      <c r="C85" s="115" t="s">
        <v>1183</v>
      </c>
      <c r="D85" s="122">
        <v>1971</v>
      </c>
      <c r="E85" s="127"/>
      <c r="F85" s="127" t="s">
        <v>274</v>
      </c>
      <c r="G85" s="122">
        <v>5</v>
      </c>
      <c r="H85" s="122">
        <v>4</v>
      </c>
      <c r="I85" s="126">
        <v>4188.1000000000004</v>
      </c>
      <c r="J85" s="126">
        <v>3145.2</v>
      </c>
      <c r="K85" s="126">
        <v>3047.4</v>
      </c>
      <c r="L85" s="124">
        <v>153</v>
      </c>
      <c r="M85" s="122" t="s">
        <v>272</v>
      </c>
      <c r="N85" s="122" t="s">
        <v>276</v>
      </c>
      <c r="O85" s="125" t="s">
        <v>856</v>
      </c>
      <c r="P85" s="126">
        <v>5210898.3499999996</v>
      </c>
      <c r="Q85" s="126">
        <v>0</v>
      </c>
      <c r="R85" s="126">
        <v>0</v>
      </c>
      <c r="S85" s="126">
        <f t="shared" si="3"/>
        <v>5210898.3499999996</v>
      </c>
      <c r="T85" s="126">
        <f t="shared" si="2"/>
        <v>1244.2153601871969</v>
      </c>
      <c r="U85" s="126">
        <v>1514.2454812444782</v>
      </c>
    </row>
    <row r="86" spans="1:21" s="67" customFormat="1" ht="61.5" x14ac:dyDescent="0.9">
      <c r="A86" s="67">
        <v>1</v>
      </c>
      <c r="B86" s="118">
        <f>SUBTOTAL(103,$A$16:A86)</f>
        <v>71</v>
      </c>
      <c r="C86" s="115" t="s">
        <v>1184</v>
      </c>
      <c r="D86" s="122">
        <v>1969</v>
      </c>
      <c r="E86" s="127"/>
      <c r="F86" s="127" t="s">
        <v>274</v>
      </c>
      <c r="G86" s="122">
        <v>5</v>
      </c>
      <c r="H86" s="122">
        <v>4</v>
      </c>
      <c r="I86" s="126">
        <v>4279.8</v>
      </c>
      <c r="J86" s="126">
        <v>3264.2</v>
      </c>
      <c r="K86" s="126">
        <v>3174.6</v>
      </c>
      <c r="L86" s="124">
        <v>136</v>
      </c>
      <c r="M86" s="122" t="s">
        <v>272</v>
      </c>
      <c r="N86" s="122" t="s">
        <v>276</v>
      </c>
      <c r="O86" s="125" t="s">
        <v>1420</v>
      </c>
      <c r="P86" s="126">
        <v>3384495.8600000003</v>
      </c>
      <c r="Q86" s="126">
        <v>0</v>
      </c>
      <c r="R86" s="126">
        <v>0</v>
      </c>
      <c r="S86" s="126">
        <f t="shared" si="3"/>
        <v>3384495.8600000003</v>
      </c>
      <c r="T86" s="126">
        <f t="shared" si="2"/>
        <v>790.80701434646483</v>
      </c>
      <c r="U86" s="126">
        <v>1529.537104537595</v>
      </c>
    </row>
    <row r="87" spans="1:21" s="67" customFormat="1" ht="61.5" x14ac:dyDescent="0.9">
      <c r="A87" s="67">
        <v>1</v>
      </c>
      <c r="B87" s="118">
        <f>SUBTOTAL(103,$A$16:A87)</f>
        <v>72</v>
      </c>
      <c r="C87" s="115" t="s">
        <v>1185</v>
      </c>
      <c r="D87" s="122">
        <v>1968</v>
      </c>
      <c r="E87" s="127"/>
      <c r="F87" s="127" t="s">
        <v>321</v>
      </c>
      <c r="G87" s="122">
        <v>5</v>
      </c>
      <c r="H87" s="122">
        <v>4</v>
      </c>
      <c r="I87" s="126">
        <v>3880.1</v>
      </c>
      <c r="J87" s="126">
        <v>3555.2</v>
      </c>
      <c r="K87" s="126">
        <v>3380.5</v>
      </c>
      <c r="L87" s="124">
        <v>167</v>
      </c>
      <c r="M87" s="122" t="s">
        <v>272</v>
      </c>
      <c r="N87" s="122" t="s">
        <v>276</v>
      </c>
      <c r="O87" s="125" t="s">
        <v>1044</v>
      </c>
      <c r="P87" s="126">
        <v>4374650</v>
      </c>
      <c r="Q87" s="126">
        <v>0</v>
      </c>
      <c r="R87" s="126">
        <v>0</v>
      </c>
      <c r="S87" s="126">
        <f t="shared" si="3"/>
        <v>4374650</v>
      </c>
      <c r="T87" s="126">
        <f t="shared" si="2"/>
        <v>1127.4580552047628</v>
      </c>
      <c r="U87" s="126">
        <v>1762.9315100126287</v>
      </c>
    </row>
    <row r="88" spans="1:21" s="67" customFormat="1" ht="61.5" x14ac:dyDescent="0.9">
      <c r="A88" s="67">
        <v>1</v>
      </c>
      <c r="B88" s="118">
        <f>SUBTOTAL(103,$A$16:A88)</f>
        <v>73</v>
      </c>
      <c r="C88" s="115" t="s">
        <v>1186</v>
      </c>
      <c r="D88" s="122">
        <v>1968</v>
      </c>
      <c r="E88" s="127"/>
      <c r="F88" s="127" t="s">
        <v>321</v>
      </c>
      <c r="G88" s="122">
        <v>5</v>
      </c>
      <c r="H88" s="122">
        <v>3</v>
      </c>
      <c r="I88" s="126">
        <v>2807.5</v>
      </c>
      <c r="J88" s="126">
        <v>2603.5</v>
      </c>
      <c r="K88" s="126">
        <v>2603.5</v>
      </c>
      <c r="L88" s="124">
        <v>114</v>
      </c>
      <c r="M88" s="122" t="s">
        <v>272</v>
      </c>
      <c r="N88" s="122" t="s">
        <v>276</v>
      </c>
      <c r="O88" s="125" t="s">
        <v>1044</v>
      </c>
      <c r="P88" s="126">
        <v>3308900</v>
      </c>
      <c r="Q88" s="126">
        <v>0</v>
      </c>
      <c r="R88" s="126">
        <v>0</v>
      </c>
      <c r="S88" s="126">
        <f t="shared" si="3"/>
        <v>3308900</v>
      </c>
      <c r="T88" s="126">
        <f t="shared" si="2"/>
        <v>1178.593054318789</v>
      </c>
      <c r="U88" s="126">
        <v>1795.059525877115</v>
      </c>
    </row>
    <row r="89" spans="1:21" s="67" customFormat="1" ht="61.5" x14ac:dyDescent="0.9">
      <c r="A89" s="67">
        <v>1</v>
      </c>
      <c r="B89" s="118">
        <f>SUBTOTAL(103,$A$16:A89)</f>
        <v>74</v>
      </c>
      <c r="C89" s="115" t="s">
        <v>1187</v>
      </c>
      <c r="D89" s="122">
        <v>1959</v>
      </c>
      <c r="E89" s="127"/>
      <c r="F89" s="127" t="s">
        <v>274</v>
      </c>
      <c r="G89" s="122">
        <v>4</v>
      </c>
      <c r="H89" s="122">
        <v>3</v>
      </c>
      <c r="I89" s="126">
        <v>2756</v>
      </c>
      <c r="J89" s="126">
        <v>2605</v>
      </c>
      <c r="K89" s="126">
        <v>2310</v>
      </c>
      <c r="L89" s="124">
        <v>91</v>
      </c>
      <c r="M89" s="122" t="s">
        <v>272</v>
      </c>
      <c r="N89" s="122" t="s">
        <v>276</v>
      </c>
      <c r="O89" s="125" t="s">
        <v>1047</v>
      </c>
      <c r="P89" s="126">
        <v>2785505.04</v>
      </c>
      <c r="Q89" s="126">
        <v>0</v>
      </c>
      <c r="R89" s="126">
        <v>0</v>
      </c>
      <c r="S89" s="126">
        <f t="shared" si="3"/>
        <v>2785505.04</v>
      </c>
      <c r="T89" s="126">
        <f t="shared" si="2"/>
        <v>1010.7057474600871</v>
      </c>
      <c r="U89" s="126">
        <v>4169.9443936139332</v>
      </c>
    </row>
    <row r="90" spans="1:21" s="67" customFormat="1" ht="61.5" x14ac:dyDescent="0.9">
      <c r="A90" s="67">
        <v>1</v>
      </c>
      <c r="B90" s="118">
        <f>SUBTOTAL(103,$A$16:A90)</f>
        <v>75</v>
      </c>
      <c r="C90" s="115" t="s">
        <v>1188</v>
      </c>
      <c r="D90" s="122">
        <v>1959</v>
      </c>
      <c r="E90" s="127"/>
      <c r="F90" s="127" t="s">
        <v>274</v>
      </c>
      <c r="G90" s="122">
        <v>3</v>
      </c>
      <c r="H90" s="122">
        <v>3</v>
      </c>
      <c r="I90" s="126">
        <v>1338.5</v>
      </c>
      <c r="J90" s="126">
        <v>1165.2</v>
      </c>
      <c r="K90" s="126">
        <v>1165.2</v>
      </c>
      <c r="L90" s="124">
        <v>41</v>
      </c>
      <c r="M90" s="122" t="s">
        <v>272</v>
      </c>
      <c r="N90" s="122" t="s">
        <v>276</v>
      </c>
      <c r="O90" s="125" t="s">
        <v>360</v>
      </c>
      <c r="P90" s="126">
        <v>5679259.6500000004</v>
      </c>
      <c r="Q90" s="126">
        <v>0</v>
      </c>
      <c r="R90" s="126">
        <v>0</v>
      </c>
      <c r="S90" s="126">
        <f t="shared" si="3"/>
        <v>5679259.6500000004</v>
      </c>
      <c r="T90" s="126">
        <f t="shared" si="2"/>
        <v>4243.0031004856182</v>
      </c>
      <c r="U90" s="126">
        <v>7565.8135883451623</v>
      </c>
    </row>
    <row r="91" spans="1:21" s="67" customFormat="1" ht="61.5" x14ac:dyDescent="0.9">
      <c r="A91" s="67">
        <v>1</v>
      </c>
      <c r="B91" s="118">
        <f>SUBTOTAL(103,$A$16:A91)</f>
        <v>76</v>
      </c>
      <c r="C91" s="115" t="s">
        <v>1189</v>
      </c>
      <c r="D91" s="122">
        <v>1974</v>
      </c>
      <c r="E91" s="127"/>
      <c r="F91" s="127" t="s">
        <v>321</v>
      </c>
      <c r="G91" s="122">
        <v>5</v>
      </c>
      <c r="H91" s="122">
        <v>5</v>
      </c>
      <c r="I91" s="126">
        <v>3386</v>
      </c>
      <c r="J91" s="126">
        <v>3284.4</v>
      </c>
      <c r="K91" s="126">
        <v>3120.2</v>
      </c>
      <c r="L91" s="124">
        <v>195</v>
      </c>
      <c r="M91" s="122" t="s">
        <v>272</v>
      </c>
      <c r="N91" s="122" t="s">
        <v>276</v>
      </c>
      <c r="O91" s="125" t="s">
        <v>1421</v>
      </c>
      <c r="P91" s="126">
        <v>2467863.3800000004</v>
      </c>
      <c r="Q91" s="126">
        <v>0</v>
      </c>
      <c r="R91" s="126">
        <v>0</v>
      </c>
      <c r="S91" s="126">
        <f t="shared" si="3"/>
        <v>2467863.3800000004</v>
      </c>
      <c r="T91" s="126">
        <f t="shared" si="2"/>
        <v>728.84329001772016</v>
      </c>
      <c r="U91" s="126">
        <v>1861.7363369757825</v>
      </c>
    </row>
    <row r="92" spans="1:21" s="67" customFormat="1" ht="61.5" x14ac:dyDescent="0.9">
      <c r="A92" s="67">
        <v>1</v>
      </c>
      <c r="B92" s="118">
        <f>SUBTOTAL(103,$A$16:A92)</f>
        <v>77</v>
      </c>
      <c r="C92" s="115" t="s">
        <v>1190</v>
      </c>
      <c r="D92" s="122">
        <v>1959</v>
      </c>
      <c r="E92" s="127"/>
      <c r="F92" s="127" t="s">
        <v>274</v>
      </c>
      <c r="G92" s="122">
        <v>2</v>
      </c>
      <c r="H92" s="122">
        <v>1</v>
      </c>
      <c r="I92" s="126">
        <v>445.1</v>
      </c>
      <c r="J92" s="126">
        <v>400.5</v>
      </c>
      <c r="K92" s="126">
        <v>201.2</v>
      </c>
      <c r="L92" s="124">
        <v>21</v>
      </c>
      <c r="M92" s="122" t="s">
        <v>272</v>
      </c>
      <c r="N92" s="122" t="s">
        <v>276</v>
      </c>
      <c r="O92" s="125" t="s">
        <v>360</v>
      </c>
      <c r="P92" s="126">
        <v>2472182.16</v>
      </c>
      <c r="Q92" s="126">
        <v>0</v>
      </c>
      <c r="R92" s="126">
        <v>0</v>
      </c>
      <c r="S92" s="126">
        <f t="shared" si="3"/>
        <v>2472182.16</v>
      </c>
      <c r="T92" s="126">
        <f t="shared" si="2"/>
        <v>5554.2173893507079</v>
      </c>
      <c r="U92" s="126">
        <v>8376.1034149629286</v>
      </c>
    </row>
    <row r="93" spans="1:21" s="67" customFormat="1" ht="61.5" x14ac:dyDescent="0.9">
      <c r="A93" s="67">
        <v>1</v>
      </c>
      <c r="B93" s="118">
        <f>SUBTOTAL(103,$A$16:A93)</f>
        <v>78</v>
      </c>
      <c r="C93" s="115" t="s">
        <v>1191</v>
      </c>
      <c r="D93" s="122">
        <v>1972</v>
      </c>
      <c r="E93" s="127"/>
      <c r="F93" s="127" t="s">
        <v>274</v>
      </c>
      <c r="G93" s="122">
        <v>5</v>
      </c>
      <c r="H93" s="122">
        <v>4</v>
      </c>
      <c r="I93" s="126">
        <v>4186</v>
      </c>
      <c r="J93" s="126">
        <v>3864.2</v>
      </c>
      <c r="K93" s="126">
        <v>2705.8</v>
      </c>
      <c r="L93" s="124">
        <v>111</v>
      </c>
      <c r="M93" s="122" t="s">
        <v>272</v>
      </c>
      <c r="N93" s="122" t="s">
        <v>276</v>
      </c>
      <c r="O93" s="125" t="s">
        <v>1044</v>
      </c>
      <c r="P93" s="126">
        <v>3731140</v>
      </c>
      <c r="Q93" s="126">
        <v>0</v>
      </c>
      <c r="R93" s="126">
        <v>0</v>
      </c>
      <c r="S93" s="126">
        <f t="shared" si="3"/>
        <v>3731140</v>
      </c>
      <c r="T93" s="126">
        <f t="shared" si="2"/>
        <v>891.33779264214047</v>
      </c>
      <c r="U93" s="126">
        <v>2505.8056261347347</v>
      </c>
    </row>
    <row r="94" spans="1:21" s="67" customFormat="1" ht="61.5" x14ac:dyDescent="0.9">
      <c r="A94" s="67">
        <v>1</v>
      </c>
      <c r="B94" s="118">
        <f>SUBTOTAL(103,$A$16:A94)</f>
        <v>79</v>
      </c>
      <c r="C94" s="115" t="s">
        <v>1192</v>
      </c>
      <c r="D94" s="122">
        <v>1969</v>
      </c>
      <c r="E94" s="127"/>
      <c r="F94" s="127" t="s">
        <v>274</v>
      </c>
      <c r="G94" s="122">
        <v>9</v>
      </c>
      <c r="H94" s="122">
        <v>1</v>
      </c>
      <c r="I94" s="126">
        <v>3340.9</v>
      </c>
      <c r="J94" s="126">
        <v>3067.1</v>
      </c>
      <c r="K94" s="126">
        <v>1971.8</v>
      </c>
      <c r="L94" s="124">
        <v>77</v>
      </c>
      <c r="M94" s="122" t="s">
        <v>272</v>
      </c>
      <c r="N94" s="122" t="s">
        <v>276</v>
      </c>
      <c r="O94" s="125" t="s">
        <v>1044</v>
      </c>
      <c r="P94" s="126">
        <v>2982674.0300000003</v>
      </c>
      <c r="Q94" s="126">
        <v>0</v>
      </c>
      <c r="R94" s="126">
        <v>0</v>
      </c>
      <c r="S94" s="126">
        <f t="shared" si="3"/>
        <v>2982674.0300000003</v>
      </c>
      <c r="T94" s="126">
        <f t="shared" si="2"/>
        <v>892.77560836900238</v>
      </c>
      <c r="U94" s="126">
        <v>908.99353467628475</v>
      </c>
    </row>
    <row r="95" spans="1:21" s="67" customFormat="1" ht="61.5" x14ac:dyDescent="0.9">
      <c r="A95" s="67">
        <v>1</v>
      </c>
      <c r="B95" s="118">
        <f>SUBTOTAL(103,$A$16:A95)</f>
        <v>80</v>
      </c>
      <c r="C95" s="115" t="s">
        <v>1193</v>
      </c>
      <c r="D95" s="122">
        <v>1968</v>
      </c>
      <c r="E95" s="127"/>
      <c r="F95" s="127" t="s">
        <v>274</v>
      </c>
      <c r="G95" s="122">
        <v>9</v>
      </c>
      <c r="H95" s="122">
        <v>1</v>
      </c>
      <c r="I95" s="126">
        <v>3060.1</v>
      </c>
      <c r="J95" s="126">
        <v>2799.7</v>
      </c>
      <c r="K95" s="126">
        <v>2031.6</v>
      </c>
      <c r="L95" s="124">
        <v>100</v>
      </c>
      <c r="M95" s="122" t="s">
        <v>272</v>
      </c>
      <c r="N95" s="122" t="s">
        <v>276</v>
      </c>
      <c r="O95" s="125" t="s">
        <v>1044</v>
      </c>
      <c r="P95" s="126">
        <v>1571964.73</v>
      </c>
      <c r="Q95" s="126">
        <v>0</v>
      </c>
      <c r="R95" s="126">
        <v>0</v>
      </c>
      <c r="S95" s="126">
        <f t="shared" si="3"/>
        <v>1571964.73</v>
      </c>
      <c r="T95" s="126">
        <f t="shared" si="2"/>
        <v>513.69717656285741</v>
      </c>
      <c r="U95" s="126">
        <v>992.40433319172575</v>
      </c>
    </row>
    <row r="96" spans="1:21" s="67" customFormat="1" ht="61.5" x14ac:dyDescent="0.9">
      <c r="A96" s="67">
        <v>1</v>
      </c>
      <c r="B96" s="118">
        <f>SUBTOTAL(103,$A$16:A96)</f>
        <v>81</v>
      </c>
      <c r="C96" s="115" t="s">
        <v>1194</v>
      </c>
      <c r="D96" s="122">
        <v>1968</v>
      </c>
      <c r="E96" s="127"/>
      <c r="F96" s="127" t="s">
        <v>274</v>
      </c>
      <c r="G96" s="122">
        <v>9</v>
      </c>
      <c r="H96" s="122">
        <v>1</v>
      </c>
      <c r="I96" s="126">
        <v>3130.4</v>
      </c>
      <c r="J96" s="126">
        <v>2830</v>
      </c>
      <c r="K96" s="126">
        <v>1981.8</v>
      </c>
      <c r="L96" s="124">
        <v>82</v>
      </c>
      <c r="M96" s="122" t="s">
        <v>272</v>
      </c>
      <c r="N96" s="122" t="s">
        <v>276</v>
      </c>
      <c r="O96" s="125" t="s">
        <v>1044</v>
      </c>
      <c r="P96" s="126">
        <v>1564566.8</v>
      </c>
      <c r="Q96" s="126">
        <v>0</v>
      </c>
      <c r="R96" s="126">
        <v>0</v>
      </c>
      <c r="S96" s="126">
        <f t="shared" si="3"/>
        <v>1564566.8</v>
      </c>
      <c r="T96" s="126">
        <f t="shared" si="2"/>
        <v>499.79772553028369</v>
      </c>
      <c r="U96" s="126">
        <v>970.1177165857398</v>
      </c>
    </row>
    <row r="97" spans="1:21" s="67" customFormat="1" ht="61.5" x14ac:dyDescent="0.9">
      <c r="A97" s="67">
        <v>1</v>
      </c>
      <c r="B97" s="118">
        <f>SUBTOTAL(103,$A$16:A97)</f>
        <v>82</v>
      </c>
      <c r="C97" s="115" t="s">
        <v>1195</v>
      </c>
      <c r="D97" s="122">
        <v>1991</v>
      </c>
      <c r="E97" s="127"/>
      <c r="F97" s="127" t="s">
        <v>274</v>
      </c>
      <c r="G97" s="122">
        <v>10</v>
      </c>
      <c r="H97" s="122">
        <v>2</v>
      </c>
      <c r="I97" s="126">
        <v>5646.2</v>
      </c>
      <c r="J97" s="126">
        <v>4982.1000000000004</v>
      </c>
      <c r="K97" s="126">
        <v>4319</v>
      </c>
      <c r="L97" s="124">
        <v>264</v>
      </c>
      <c r="M97" s="122" t="s">
        <v>272</v>
      </c>
      <c r="N97" s="122" t="s">
        <v>276</v>
      </c>
      <c r="O97" s="125" t="s">
        <v>359</v>
      </c>
      <c r="P97" s="126">
        <v>3053913.67</v>
      </c>
      <c r="Q97" s="126">
        <v>0</v>
      </c>
      <c r="R97" s="126">
        <v>0</v>
      </c>
      <c r="S97" s="126">
        <f t="shared" si="3"/>
        <v>3053913.67</v>
      </c>
      <c r="T97" s="126">
        <f t="shared" si="2"/>
        <v>540.87947114873725</v>
      </c>
      <c r="U97" s="126">
        <v>862.52063334632146</v>
      </c>
    </row>
    <row r="98" spans="1:21" s="67" customFormat="1" ht="61.5" x14ac:dyDescent="0.9">
      <c r="A98" s="67">
        <v>1</v>
      </c>
      <c r="B98" s="118">
        <f>SUBTOTAL(103,$A$16:A98)</f>
        <v>83</v>
      </c>
      <c r="C98" s="115" t="s">
        <v>1196</v>
      </c>
      <c r="D98" s="122">
        <v>1984</v>
      </c>
      <c r="E98" s="127"/>
      <c r="F98" s="127" t="s">
        <v>321</v>
      </c>
      <c r="G98" s="122">
        <v>16</v>
      </c>
      <c r="H98" s="122">
        <v>1</v>
      </c>
      <c r="I98" s="126">
        <v>5474.9</v>
      </c>
      <c r="J98" s="126">
        <v>4635.7</v>
      </c>
      <c r="K98" s="126">
        <v>4362.7</v>
      </c>
      <c r="L98" s="124">
        <v>218</v>
      </c>
      <c r="M98" s="122" t="s">
        <v>272</v>
      </c>
      <c r="N98" s="122" t="s">
        <v>276</v>
      </c>
      <c r="O98" s="125" t="s">
        <v>359</v>
      </c>
      <c r="P98" s="126">
        <v>4090124.09</v>
      </c>
      <c r="Q98" s="126">
        <v>0</v>
      </c>
      <c r="R98" s="126">
        <v>0</v>
      </c>
      <c r="S98" s="126">
        <f t="shared" si="3"/>
        <v>4090124.09</v>
      </c>
      <c r="T98" s="126">
        <f t="shared" si="2"/>
        <v>747.06827339312133</v>
      </c>
      <c r="U98" s="126">
        <v>1019.9517799411863</v>
      </c>
    </row>
    <row r="99" spans="1:21" s="67" customFormat="1" ht="61.5" x14ac:dyDescent="0.9">
      <c r="A99" s="67">
        <v>1</v>
      </c>
      <c r="B99" s="118">
        <f>SUBTOTAL(103,$A$16:A99)</f>
        <v>84</v>
      </c>
      <c r="C99" s="115" t="s">
        <v>1197</v>
      </c>
      <c r="D99" s="122">
        <v>1950</v>
      </c>
      <c r="E99" s="127"/>
      <c r="F99" s="127" t="s">
        <v>274</v>
      </c>
      <c r="G99" s="122">
        <v>2</v>
      </c>
      <c r="H99" s="122">
        <v>2</v>
      </c>
      <c r="I99" s="126">
        <v>813.8</v>
      </c>
      <c r="J99" s="126">
        <v>739.3</v>
      </c>
      <c r="K99" s="126">
        <v>696.4</v>
      </c>
      <c r="L99" s="124">
        <v>39</v>
      </c>
      <c r="M99" s="122" t="s">
        <v>272</v>
      </c>
      <c r="N99" s="122" t="s">
        <v>276</v>
      </c>
      <c r="O99" s="125" t="s">
        <v>1047</v>
      </c>
      <c r="P99" s="126">
        <v>1338154.29</v>
      </c>
      <c r="Q99" s="126">
        <v>0</v>
      </c>
      <c r="R99" s="126">
        <v>0</v>
      </c>
      <c r="S99" s="126">
        <f t="shared" si="3"/>
        <v>1338154.29</v>
      </c>
      <c r="T99" s="126">
        <f t="shared" si="2"/>
        <v>1644.3282010321948</v>
      </c>
      <c r="U99" s="126">
        <v>2927.9364463013021</v>
      </c>
    </row>
    <row r="100" spans="1:21" s="67" customFormat="1" ht="61.5" x14ac:dyDescent="0.9">
      <c r="A100" s="67">
        <v>1</v>
      </c>
      <c r="B100" s="118">
        <f>SUBTOTAL(103,$A$16:A100)</f>
        <v>85</v>
      </c>
      <c r="C100" s="115" t="s">
        <v>1198</v>
      </c>
      <c r="D100" s="122">
        <v>1958</v>
      </c>
      <c r="E100" s="127"/>
      <c r="F100" s="127" t="s">
        <v>274</v>
      </c>
      <c r="G100" s="122">
        <v>2</v>
      </c>
      <c r="H100" s="122">
        <v>2</v>
      </c>
      <c r="I100" s="126">
        <v>515.4</v>
      </c>
      <c r="J100" s="126">
        <v>454.3</v>
      </c>
      <c r="K100" s="126">
        <v>339.6</v>
      </c>
      <c r="L100" s="124">
        <v>21</v>
      </c>
      <c r="M100" s="122" t="s">
        <v>272</v>
      </c>
      <c r="N100" s="122" t="s">
        <v>276</v>
      </c>
      <c r="O100" s="125" t="s">
        <v>1418</v>
      </c>
      <c r="P100" s="126">
        <v>221671.53999999998</v>
      </c>
      <c r="Q100" s="126">
        <v>0</v>
      </c>
      <c r="R100" s="126">
        <v>0</v>
      </c>
      <c r="S100" s="126">
        <f t="shared" si="3"/>
        <v>221671.53999999998</v>
      </c>
      <c r="T100" s="126">
        <f t="shared" si="2"/>
        <v>430.09611951882033</v>
      </c>
      <c r="U100" s="126">
        <v>430.09611951882033</v>
      </c>
    </row>
    <row r="101" spans="1:21" s="67" customFormat="1" ht="61.5" x14ac:dyDescent="0.9">
      <c r="A101" s="67">
        <v>1</v>
      </c>
      <c r="B101" s="118">
        <f>SUBTOTAL(103,$A$16:A101)</f>
        <v>86</v>
      </c>
      <c r="C101" s="115" t="s">
        <v>1199</v>
      </c>
      <c r="D101" s="122">
        <v>1932</v>
      </c>
      <c r="E101" s="127"/>
      <c r="F101" s="127" t="s">
        <v>274</v>
      </c>
      <c r="G101" s="122">
        <v>4</v>
      </c>
      <c r="H101" s="122">
        <v>3</v>
      </c>
      <c r="I101" s="126">
        <v>2131.17</v>
      </c>
      <c r="J101" s="126">
        <v>1905.67</v>
      </c>
      <c r="K101" s="126">
        <v>1212.8</v>
      </c>
      <c r="L101" s="124">
        <v>77</v>
      </c>
      <c r="M101" s="122" t="s">
        <v>272</v>
      </c>
      <c r="N101" s="122" t="s">
        <v>276</v>
      </c>
      <c r="O101" s="125" t="s">
        <v>360</v>
      </c>
      <c r="P101" s="126">
        <v>424198.25999999995</v>
      </c>
      <c r="Q101" s="126">
        <v>0</v>
      </c>
      <c r="R101" s="126">
        <v>0</v>
      </c>
      <c r="S101" s="126">
        <f t="shared" si="3"/>
        <v>424198.25999999995</v>
      </c>
      <c r="T101" s="126">
        <f t="shared" si="2"/>
        <v>199.04477822041412</v>
      </c>
      <c r="U101" s="126">
        <v>270.58</v>
      </c>
    </row>
    <row r="102" spans="1:21" s="67" customFormat="1" ht="61.5" x14ac:dyDescent="0.9">
      <c r="A102" s="67">
        <v>1</v>
      </c>
      <c r="B102" s="118">
        <f>SUBTOTAL(103,$A$16:A102)</f>
        <v>87</v>
      </c>
      <c r="C102" s="115" t="s">
        <v>1200</v>
      </c>
      <c r="D102" s="122" t="s">
        <v>381</v>
      </c>
      <c r="E102" s="127"/>
      <c r="F102" s="127" t="s">
        <v>274</v>
      </c>
      <c r="G102" s="122" t="s">
        <v>318</v>
      </c>
      <c r="H102" s="122" t="s">
        <v>313</v>
      </c>
      <c r="I102" s="126">
        <v>1346.5</v>
      </c>
      <c r="J102" s="126">
        <v>1245.7</v>
      </c>
      <c r="K102" s="126">
        <v>1118.8</v>
      </c>
      <c r="L102" s="124">
        <v>62</v>
      </c>
      <c r="M102" s="122" t="s">
        <v>272</v>
      </c>
      <c r="N102" s="122" t="s">
        <v>276</v>
      </c>
      <c r="O102" s="125" t="s">
        <v>1162</v>
      </c>
      <c r="P102" s="126">
        <v>1681648.14</v>
      </c>
      <c r="Q102" s="126">
        <v>0</v>
      </c>
      <c r="R102" s="126">
        <v>0</v>
      </c>
      <c r="S102" s="126">
        <f t="shared" si="3"/>
        <v>1681648.14</v>
      </c>
      <c r="T102" s="126">
        <f t="shared" si="2"/>
        <v>1248.9031860378759</v>
      </c>
      <c r="U102" s="126">
        <v>2272.4111682138878</v>
      </c>
    </row>
    <row r="103" spans="1:21" s="67" customFormat="1" ht="61.5" x14ac:dyDescent="0.9">
      <c r="A103" s="67">
        <v>1</v>
      </c>
      <c r="B103" s="118">
        <f>SUBTOTAL(103,$A$16:A103)</f>
        <v>88</v>
      </c>
      <c r="C103" s="115" t="s">
        <v>1201</v>
      </c>
      <c r="D103" s="122">
        <v>1960</v>
      </c>
      <c r="E103" s="127"/>
      <c r="F103" s="127" t="s">
        <v>274</v>
      </c>
      <c r="G103" s="122">
        <v>3</v>
      </c>
      <c r="H103" s="122">
        <v>2</v>
      </c>
      <c r="I103" s="126">
        <v>979.2</v>
      </c>
      <c r="J103" s="126">
        <v>969.7</v>
      </c>
      <c r="K103" s="126">
        <v>929.8</v>
      </c>
      <c r="L103" s="124">
        <v>31</v>
      </c>
      <c r="M103" s="122" t="s">
        <v>272</v>
      </c>
      <c r="N103" s="122" t="s">
        <v>276</v>
      </c>
      <c r="O103" s="125" t="s">
        <v>1419</v>
      </c>
      <c r="P103" s="126">
        <v>1772546.72</v>
      </c>
      <c r="Q103" s="126">
        <v>0</v>
      </c>
      <c r="R103" s="126">
        <v>0</v>
      </c>
      <c r="S103" s="126">
        <f t="shared" si="3"/>
        <v>1772546.72</v>
      </c>
      <c r="T103" s="126">
        <f t="shared" si="2"/>
        <v>1810.1988562091501</v>
      </c>
      <c r="U103" s="126">
        <v>3611.2292775735291</v>
      </c>
    </row>
    <row r="104" spans="1:21" s="67" customFormat="1" ht="61.5" x14ac:dyDescent="0.9">
      <c r="A104" s="67">
        <v>1</v>
      </c>
      <c r="B104" s="118">
        <f>SUBTOTAL(103,$A$16:A104)</f>
        <v>89</v>
      </c>
      <c r="C104" s="115" t="s">
        <v>1202</v>
      </c>
      <c r="D104" s="122">
        <v>1991</v>
      </c>
      <c r="E104" s="127">
        <v>2016</v>
      </c>
      <c r="F104" s="127" t="s">
        <v>1422</v>
      </c>
      <c r="G104" s="122">
        <v>13</v>
      </c>
      <c r="H104" s="122">
        <v>1</v>
      </c>
      <c r="I104" s="126">
        <v>4135.3</v>
      </c>
      <c r="J104" s="126">
        <v>3928.9</v>
      </c>
      <c r="K104" s="126">
        <v>3680.79</v>
      </c>
      <c r="L104" s="124">
        <v>225</v>
      </c>
      <c r="M104" s="122" t="s">
        <v>272</v>
      </c>
      <c r="N104" s="122" t="s">
        <v>276</v>
      </c>
      <c r="O104" s="125" t="s">
        <v>359</v>
      </c>
      <c r="P104" s="126">
        <v>7464191.71</v>
      </c>
      <c r="Q104" s="126">
        <v>0</v>
      </c>
      <c r="R104" s="126">
        <v>0</v>
      </c>
      <c r="S104" s="126">
        <f t="shared" si="3"/>
        <v>7464191.71</v>
      </c>
      <c r="T104" s="126">
        <f t="shared" si="2"/>
        <v>1804.9940052716852</v>
      </c>
      <c r="U104" s="126">
        <v>2532.3781249244312</v>
      </c>
    </row>
    <row r="105" spans="1:21" s="67" customFormat="1" ht="61.5" x14ac:dyDescent="0.9">
      <c r="A105" s="67">
        <v>1</v>
      </c>
      <c r="B105" s="118">
        <f>SUBTOTAL(103,$A$16:A105)</f>
        <v>90</v>
      </c>
      <c r="C105" s="115" t="s">
        <v>1203</v>
      </c>
      <c r="D105" s="122">
        <v>1962</v>
      </c>
      <c r="E105" s="127"/>
      <c r="F105" s="127" t="s">
        <v>274</v>
      </c>
      <c r="G105" s="122">
        <v>5</v>
      </c>
      <c r="H105" s="122">
        <v>4</v>
      </c>
      <c r="I105" s="126">
        <v>3154</v>
      </c>
      <c r="J105" s="126">
        <v>3012.3</v>
      </c>
      <c r="K105" s="126">
        <v>2941.4</v>
      </c>
      <c r="L105" s="124">
        <v>175</v>
      </c>
      <c r="M105" s="122" t="s">
        <v>272</v>
      </c>
      <c r="N105" s="122" t="s">
        <v>276</v>
      </c>
      <c r="O105" s="125" t="s">
        <v>360</v>
      </c>
      <c r="P105" s="126">
        <v>3246985.8699999996</v>
      </c>
      <c r="Q105" s="126">
        <v>0</v>
      </c>
      <c r="R105" s="126">
        <v>0</v>
      </c>
      <c r="S105" s="126">
        <f t="shared" si="3"/>
        <v>3246985.8699999996</v>
      </c>
      <c r="T105" s="126">
        <f t="shared" si="2"/>
        <v>1029.4818864933416</v>
      </c>
      <c r="U105" s="126">
        <v>2338.6769213696894</v>
      </c>
    </row>
    <row r="106" spans="1:21" s="67" customFormat="1" ht="61.5" x14ac:dyDescent="0.9">
      <c r="A106" s="67">
        <v>1</v>
      </c>
      <c r="B106" s="118">
        <f>SUBTOTAL(103,$A$16:A106)</f>
        <v>91</v>
      </c>
      <c r="C106" s="115" t="s">
        <v>1204</v>
      </c>
      <c r="D106" s="122">
        <v>1962</v>
      </c>
      <c r="E106" s="127"/>
      <c r="F106" s="127" t="s">
        <v>274</v>
      </c>
      <c r="G106" s="122">
        <v>4</v>
      </c>
      <c r="H106" s="122">
        <v>3</v>
      </c>
      <c r="I106" s="126">
        <v>2680.2</v>
      </c>
      <c r="J106" s="126">
        <v>1990.4</v>
      </c>
      <c r="K106" s="126">
        <v>1918.2</v>
      </c>
      <c r="L106" s="124">
        <v>88</v>
      </c>
      <c r="M106" s="122" t="s">
        <v>272</v>
      </c>
      <c r="N106" s="122" t="s">
        <v>276</v>
      </c>
      <c r="O106" s="125" t="s">
        <v>1162</v>
      </c>
      <c r="P106" s="126">
        <v>3669696.98</v>
      </c>
      <c r="Q106" s="126">
        <v>0</v>
      </c>
      <c r="R106" s="126">
        <v>0</v>
      </c>
      <c r="S106" s="126">
        <f t="shared" si="3"/>
        <v>3669696.98</v>
      </c>
      <c r="T106" s="126">
        <f t="shared" si="2"/>
        <v>1369.1877397209164</v>
      </c>
      <c r="U106" s="126">
        <v>5002.8789605253342</v>
      </c>
    </row>
    <row r="107" spans="1:21" s="67" customFormat="1" ht="61.5" x14ac:dyDescent="0.9">
      <c r="A107" s="67">
        <v>1</v>
      </c>
      <c r="B107" s="118">
        <f>SUBTOTAL(103,$A$16:A107)</f>
        <v>92</v>
      </c>
      <c r="C107" s="115" t="s">
        <v>1205</v>
      </c>
      <c r="D107" s="122">
        <v>1946</v>
      </c>
      <c r="E107" s="127"/>
      <c r="F107" s="127" t="s">
        <v>274</v>
      </c>
      <c r="G107" s="122">
        <v>3</v>
      </c>
      <c r="H107" s="122">
        <v>3</v>
      </c>
      <c r="I107" s="126">
        <v>2194.1999999999998</v>
      </c>
      <c r="J107" s="126">
        <v>1984.8</v>
      </c>
      <c r="K107" s="126">
        <v>1584.8</v>
      </c>
      <c r="L107" s="124">
        <v>31</v>
      </c>
      <c r="M107" s="122" t="s">
        <v>272</v>
      </c>
      <c r="N107" s="122" t="s">
        <v>276</v>
      </c>
      <c r="O107" s="125" t="s">
        <v>1423</v>
      </c>
      <c r="P107" s="126">
        <v>3912729.53</v>
      </c>
      <c r="Q107" s="126">
        <v>0</v>
      </c>
      <c r="R107" s="126">
        <v>0</v>
      </c>
      <c r="S107" s="126">
        <f t="shared" si="3"/>
        <v>3912729.53</v>
      </c>
      <c r="T107" s="126">
        <f t="shared" si="2"/>
        <v>1783.2146249202444</v>
      </c>
      <c r="U107" s="126">
        <v>2768.9989841400056</v>
      </c>
    </row>
    <row r="108" spans="1:21" s="67" customFormat="1" ht="61.5" x14ac:dyDescent="0.9">
      <c r="A108" s="67">
        <v>1</v>
      </c>
      <c r="B108" s="118">
        <f>SUBTOTAL(103,$A$16:A108)</f>
        <v>93</v>
      </c>
      <c r="C108" s="115" t="s">
        <v>1206</v>
      </c>
      <c r="D108" s="122">
        <v>1949</v>
      </c>
      <c r="E108" s="127"/>
      <c r="F108" s="127" t="s">
        <v>274</v>
      </c>
      <c r="G108" s="122">
        <v>2</v>
      </c>
      <c r="H108" s="122">
        <v>2</v>
      </c>
      <c r="I108" s="126">
        <v>938.97</v>
      </c>
      <c r="J108" s="126">
        <v>864.07</v>
      </c>
      <c r="K108" s="126">
        <v>649.77</v>
      </c>
      <c r="L108" s="124">
        <v>19</v>
      </c>
      <c r="M108" s="122" t="s">
        <v>272</v>
      </c>
      <c r="N108" s="122" t="s">
        <v>276</v>
      </c>
      <c r="O108" s="125" t="s">
        <v>1424</v>
      </c>
      <c r="P108" s="126">
        <v>3455983.14</v>
      </c>
      <c r="Q108" s="126">
        <v>0</v>
      </c>
      <c r="R108" s="126">
        <v>0</v>
      </c>
      <c r="S108" s="126">
        <f t="shared" si="3"/>
        <v>3455983.14</v>
      </c>
      <c r="T108" s="126">
        <f t="shared" si="2"/>
        <v>3680.6108182370044</v>
      </c>
      <c r="U108" s="126">
        <v>6584.0855405391012</v>
      </c>
    </row>
    <row r="109" spans="1:21" s="67" customFormat="1" ht="61.5" x14ac:dyDescent="0.9">
      <c r="A109" s="67">
        <v>1</v>
      </c>
      <c r="B109" s="118">
        <f>SUBTOTAL(103,$A$16:A109)</f>
        <v>94</v>
      </c>
      <c r="C109" s="115" t="s">
        <v>1207</v>
      </c>
      <c r="D109" s="122">
        <v>1958</v>
      </c>
      <c r="E109" s="127"/>
      <c r="F109" s="127" t="s">
        <v>274</v>
      </c>
      <c r="G109" s="122">
        <v>2</v>
      </c>
      <c r="H109" s="122">
        <v>1</v>
      </c>
      <c r="I109" s="126">
        <v>429.6</v>
      </c>
      <c r="J109" s="126">
        <v>389</v>
      </c>
      <c r="K109" s="126">
        <v>344.8</v>
      </c>
      <c r="L109" s="124">
        <v>28</v>
      </c>
      <c r="M109" s="122" t="s">
        <v>272</v>
      </c>
      <c r="N109" s="122" t="s">
        <v>276</v>
      </c>
      <c r="O109" s="125" t="s">
        <v>360</v>
      </c>
      <c r="P109" s="126">
        <v>1962493.37</v>
      </c>
      <c r="Q109" s="126">
        <v>0</v>
      </c>
      <c r="R109" s="126">
        <v>0</v>
      </c>
      <c r="S109" s="126">
        <f t="shared" si="3"/>
        <v>1962493.37</v>
      </c>
      <c r="T109" s="126">
        <f t="shared" si="2"/>
        <v>4568.1875465549347</v>
      </c>
      <c r="U109" s="126">
        <v>8967.8834729981372</v>
      </c>
    </row>
    <row r="110" spans="1:21" s="67" customFormat="1" ht="61.5" x14ac:dyDescent="0.9">
      <c r="A110" s="67">
        <v>1</v>
      </c>
      <c r="B110" s="118">
        <f>SUBTOTAL(103,$A$16:A110)</f>
        <v>95</v>
      </c>
      <c r="C110" s="115" t="s">
        <v>1208</v>
      </c>
      <c r="D110" s="122">
        <v>1958</v>
      </c>
      <c r="E110" s="127"/>
      <c r="F110" s="127" t="s">
        <v>274</v>
      </c>
      <c r="G110" s="122">
        <v>2</v>
      </c>
      <c r="H110" s="122">
        <v>1</v>
      </c>
      <c r="I110" s="126">
        <v>447.4</v>
      </c>
      <c r="J110" s="126">
        <v>385</v>
      </c>
      <c r="K110" s="126">
        <v>341.3</v>
      </c>
      <c r="L110" s="124">
        <v>24</v>
      </c>
      <c r="M110" s="122" t="s">
        <v>272</v>
      </c>
      <c r="N110" s="122" t="s">
        <v>276</v>
      </c>
      <c r="O110" s="125" t="s">
        <v>360</v>
      </c>
      <c r="P110" s="126">
        <v>2187715.7799999998</v>
      </c>
      <c r="Q110" s="126">
        <v>0</v>
      </c>
      <c r="R110" s="126">
        <v>0</v>
      </c>
      <c r="S110" s="126">
        <f t="shared" si="3"/>
        <v>2187715.7799999998</v>
      </c>
      <c r="T110" s="126">
        <f t="shared" si="2"/>
        <v>4889.843048725972</v>
      </c>
      <c r="U110" s="126">
        <v>8690.7997724631205</v>
      </c>
    </row>
    <row r="111" spans="1:21" s="67" customFormat="1" ht="61.5" x14ac:dyDescent="0.9">
      <c r="A111" s="67">
        <v>1</v>
      </c>
      <c r="B111" s="118">
        <f>SUBTOTAL(103,$A$16:A111)</f>
        <v>96</v>
      </c>
      <c r="C111" s="115" t="s">
        <v>1209</v>
      </c>
      <c r="D111" s="122">
        <v>1963</v>
      </c>
      <c r="E111" s="127"/>
      <c r="F111" s="127" t="s">
        <v>274</v>
      </c>
      <c r="G111" s="122">
        <v>5</v>
      </c>
      <c r="H111" s="122">
        <v>2</v>
      </c>
      <c r="I111" s="126">
        <v>2093.4</v>
      </c>
      <c r="J111" s="126">
        <v>1625</v>
      </c>
      <c r="K111" s="126">
        <v>1469.4</v>
      </c>
      <c r="L111" s="124">
        <v>81</v>
      </c>
      <c r="M111" s="122" t="s">
        <v>272</v>
      </c>
      <c r="N111" s="122" t="s">
        <v>276</v>
      </c>
      <c r="O111" s="125" t="s">
        <v>1162</v>
      </c>
      <c r="P111" s="126">
        <v>3257518.0800000001</v>
      </c>
      <c r="Q111" s="126">
        <v>0</v>
      </c>
      <c r="R111" s="126">
        <v>0</v>
      </c>
      <c r="S111" s="126">
        <f t="shared" si="3"/>
        <v>3257518.0800000001</v>
      </c>
      <c r="T111" s="126">
        <f t="shared" si="2"/>
        <v>1556.089653195758</v>
      </c>
      <c r="U111" s="126">
        <v>5484.3350300945822</v>
      </c>
    </row>
    <row r="112" spans="1:21" s="67" customFormat="1" ht="61.5" x14ac:dyDescent="0.9">
      <c r="A112" s="67">
        <v>1</v>
      </c>
      <c r="B112" s="118">
        <f>SUBTOTAL(103,$A$16:A112)</f>
        <v>97</v>
      </c>
      <c r="C112" s="115" t="s">
        <v>1210</v>
      </c>
      <c r="D112" s="122">
        <v>1958</v>
      </c>
      <c r="E112" s="127"/>
      <c r="F112" s="127" t="s">
        <v>274</v>
      </c>
      <c r="G112" s="122">
        <v>3</v>
      </c>
      <c r="H112" s="122">
        <v>2</v>
      </c>
      <c r="I112" s="126">
        <v>1085.8</v>
      </c>
      <c r="J112" s="126">
        <v>994.9</v>
      </c>
      <c r="K112" s="126">
        <v>922</v>
      </c>
      <c r="L112" s="124">
        <v>18</v>
      </c>
      <c r="M112" s="122" t="s">
        <v>272</v>
      </c>
      <c r="N112" s="122" t="s">
        <v>276</v>
      </c>
      <c r="O112" s="125" t="s">
        <v>1424</v>
      </c>
      <c r="P112" s="126">
        <v>2605584.64</v>
      </c>
      <c r="Q112" s="126">
        <v>0</v>
      </c>
      <c r="R112" s="126">
        <v>0</v>
      </c>
      <c r="S112" s="126">
        <f t="shared" si="3"/>
        <v>2605584.64</v>
      </c>
      <c r="T112" s="126">
        <f t="shared" si="2"/>
        <v>2399.6911401731445</v>
      </c>
      <c r="U112" s="126">
        <v>3879.8994497144963</v>
      </c>
    </row>
    <row r="113" spans="1:21" s="67" customFormat="1" ht="61.5" x14ac:dyDescent="0.9">
      <c r="A113" s="67">
        <v>1</v>
      </c>
      <c r="B113" s="118">
        <f>SUBTOTAL(103,$A$16:A113)</f>
        <v>98</v>
      </c>
      <c r="C113" s="115" t="s">
        <v>1211</v>
      </c>
      <c r="D113" s="122">
        <v>1959</v>
      </c>
      <c r="E113" s="127"/>
      <c r="F113" s="127" t="s">
        <v>274</v>
      </c>
      <c r="G113" s="122">
        <v>2</v>
      </c>
      <c r="H113" s="122">
        <v>1</v>
      </c>
      <c r="I113" s="126">
        <v>495</v>
      </c>
      <c r="J113" s="126">
        <v>308.10000000000002</v>
      </c>
      <c r="K113" s="126">
        <v>308.10000000000002</v>
      </c>
      <c r="L113" s="124">
        <v>19</v>
      </c>
      <c r="M113" s="122" t="s">
        <v>272</v>
      </c>
      <c r="N113" s="122" t="s">
        <v>276</v>
      </c>
      <c r="O113" s="125" t="s">
        <v>1052</v>
      </c>
      <c r="P113" s="126">
        <v>2358908.7200000002</v>
      </c>
      <c r="Q113" s="126">
        <v>0</v>
      </c>
      <c r="R113" s="126">
        <v>0</v>
      </c>
      <c r="S113" s="126">
        <f t="shared" si="3"/>
        <v>2358908.7200000002</v>
      </c>
      <c r="T113" s="126">
        <f t="shared" si="2"/>
        <v>4765.4721616161623</v>
      </c>
      <c r="U113" s="126">
        <v>9894.0510383838391</v>
      </c>
    </row>
    <row r="114" spans="1:21" s="67" customFormat="1" ht="61.5" x14ac:dyDescent="0.9">
      <c r="A114" s="67">
        <v>1</v>
      </c>
      <c r="B114" s="118">
        <f>SUBTOTAL(103,$A$16:A114)</f>
        <v>99</v>
      </c>
      <c r="C114" s="115" t="s">
        <v>1212</v>
      </c>
      <c r="D114" s="122">
        <v>1968</v>
      </c>
      <c r="E114" s="127"/>
      <c r="F114" s="127" t="s">
        <v>274</v>
      </c>
      <c r="G114" s="122">
        <v>5</v>
      </c>
      <c r="H114" s="122">
        <v>4</v>
      </c>
      <c r="I114" s="126">
        <v>3196.3</v>
      </c>
      <c r="J114" s="126">
        <v>3132.7</v>
      </c>
      <c r="K114" s="126">
        <v>3132.7</v>
      </c>
      <c r="L114" s="124">
        <v>173</v>
      </c>
      <c r="M114" s="122" t="s">
        <v>272</v>
      </c>
      <c r="N114" s="122" t="s">
        <v>276</v>
      </c>
      <c r="O114" s="125" t="s">
        <v>1419</v>
      </c>
      <c r="P114" s="126">
        <v>1057325.5</v>
      </c>
      <c r="Q114" s="126">
        <v>0</v>
      </c>
      <c r="R114" s="126">
        <v>0</v>
      </c>
      <c r="S114" s="126">
        <f t="shared" si="3"/>
        <v>1057325.5</v>
      </c>
      <c r="T114" s="126">
        <f t="shared" si="2"/>
        <v>330.79670243719301</v>
      </c>
      <c r="U114" s="126">
        <v>2091.6143040390448</v>
      </c>
    </row>
    <row r="115" spans="1:21" s="67" customFormat="1" ht="61.5" x14ac:dyDescent="0.9">
      <c r="A115" s="67">
        <v>1</v>
      </c>
      <c r="B115" s="118">
        <f>SUBTOTAL(103,$A$16:A115)</f>
        <v>100</v>
      </c>
      <c r="C115" s="115" t="s">
        <v>1213</v>
      </c>
      <c r="D115" s="122">
        <v>1974</v>
      </c>
      <c r="E115" s="127"/>
      <c r="F115" s="127" t="s">
        <v>321</v>
      </c>
      <c r="G115" s="122">
        <v>5</v>
      </c>
      <c r="H115" s="122">
        <v>6</v>
      </c>
      <c r="I115" s="126">
        <v>6075</v>
      </c>
      <c r="J115" s="126">
        <v>4574.1000000000004</v>
      </c>
      <c r="K115" s="126">
        <v>4324.3999999999996</v>
      </c>
      <c r="L115" s="124">
        <v>225</v>
      </c>
      <c r="M115" s="122" t="s">
        <v>272</v>
      </c>
      <c r="N115" s="122" t="s">
        <v>276</v>
      </c>
      <c r="O115" s="125" t="s">
        <v>1425</v>
      </c>
      <c r="P115" s="126">
        <v>5231989.2399999993</v>
      </c>
      <c r="Q115" s="126">
        <v>0</v>
      </c>
      <c r="R115" s="126">
        <v>0</v>
      </c>
      <c r="S115" s="126">
        <f t="shared" si="3"/>
        <v>5231989.2399999993</v>
      </c>
      <c r="T115" s="126">
        <f t="shared" si="2"/>
        <v>861.23279670781881</v>
      </c>
      <c r="U115" s="126">
        <v>1278.840129053498</v>
      </c>
    </row>
    <row r="116" spans="1:21" s="67" customFormat="1" ht="61.5" x14ac:dyDescent="0.9">
      <c r="A116" s="67">
        <v>1</v>
      </c>
      <c r="B116" s="118">
        <f>SUBTOTAL(103,$A$16:A116)</f>
        <v>101</v>
      </c>
      <c r="C116" s="115" t="s">
        <v>1214</v>
      </c>
      <c r="D116" s="122">
        <v>1962</v>
      </c>
      <c r="E116" s="127"/>
      <c r="F116" s="127" t="s">
        <v>274</v>
      </c>
      <c r="G116" s="122">
        <v>2</v>
      </c>
      <c r="H116" s="122">
        <v>2</v>
      </c>
      <c r="I116" s="126">
        <v>628.29999999999995</v>
      </c>
      <c r="J116" s="126">
        <v>414.2</v>
      </c>
      <c r="K116" s="126">
        <v>414.2</v>
      </c>
      <c r="L116" s="124">
        <v>40</v>
      </c>
      <c r="M116" s="122" t="s">
        <v>272</v>
      </c>
      <c r="N116" s="122" t="s">
        <v>273</v>
      </c>
      <c r="O116" s="125" t="s">
        <v>1426</v>
      </c>
      <c r="P116" s="126">
        <v>2273967.09</v>
      </c>
      <c r="Q116" s="126">
        <v>0</v>
      </c>
      <c r="R116" s="126">
        <v>0</v>
      </c>
      <c r="S116" s="126">
        <f t="shared" si="3"/>
        <v>2273967.09</v>
      </c>
      <c r="T116" s="126">
        <f t="shared" si="2"/>
        <v>3619.2377685818878</v>
      </c>
      <c r="U116" s="126">
        <v>5836.6591405379595</v>
      </c>
    </row>
    <row r="117" spans="1:21" s="67" customFormat="1" ht="61.5" x14ac:dyDescent="0.9">
      <c r="A117" s="67">
        <v>1</v>
      </c>
      <c r="B117" s="118">
        <f>SUBTOTAL(103,$A$16:A117)</f>
        <v>102</v>
      </c>
      <c r="C117" s="115" t="s">
        <v>1215</v>
      </c>
      <c r="D117" s="122">
        <v>1964</v>
      </c>
      <c r="E117" s="127"/>
      <c r="F117" s="127" t="s">
        <v>274</v>
      </c>
      <c r="G117" s="122">
        <v>2</v>
      </c>
      <c r="H117" s="122">
        <v>2</v>
      </c>
      <c r="I117" s="126">
        <v>616.20000000000005</v>
      </c>
      <c r="J117" s="126">
        <v>614</v>
      </c>
      <c r="K117" s="126">
        <v>614</v>
      </c>
      <c r="L117" s="124">
        <v>40</v>
      </c>
      <c r="M117" s="122" t="s">
        <v>272</v>
      </c>
      <c r="N117" s="122" t="s">
        <v>276</v>
      </c>
      <c r="O117" s="125" t="s">
        <v>1426</v>
      </c>
      <c r="P117" s="126">
        <v>2766023.94</v>
      </c>
      <c r="Q117" s="126">
        <v>0</v>
      </c>
      <c r="R117" s="126">
        <v>0</v>
      </c>
      <c r="S117" s="126">
        <f t="shared" si="3"/>
        <v>2766023.94</v>
      </c>
      <c r="T117" s="126">
        <f t="shared" si="2"/>
        <v>4488.8411879259975</v>
      </c>
      <c r="U117" s="126">
        <v>7283.0234501785126</v>
      </c>
    </row>
    <row r="118" spans="1:21" s="67" customFormat="1" ht="61.5" x14ac:dyDescent="0.9">
      <c r="A118" s="67">
        <v>1</v>
      </c>
      <c r="B118" s="118">
        <f>SUBTOTAL(103,$A$16:A118)</f>
        <v>103</v>
      </c>
      <c r="C118" s="115" t="s">
        <v>1216</v>
      </c>
      <c r="D118" s="122">
        <v>1959</v>
      </c>
      <c r="E118" s="127"/>
      <c r="F118" s="127" t="s">
        <v>274</v>
      </c>
      <c r="G118" s="122">
        <v>2</v>
      </c>
      <c r="H118" s="122">
        <v>2</v>
      </c>
      <c r="I118" s="126">
        <v>572.79999999999995</v>
      </c>
      <c r="J118" s="126">
        <v>339.4</v>
      </c>
      <c r="K118" s="126">
        <v>339.4</v>
      </c>
      <c r="L118" s="124">
        <v>20</v>
      </c>
      <c r="M118" s="122" t="s">
        <v>272</v>
      </c>
      <c r="N118" s="122" t="s">
        <v>276</v>
      </c>
      <c r="O118" s="125" t="s">
        <v>1427</v>
      </c>
      <c r="P118" s="126">
        <v>2333213.5</v>
      </c>
      <c r="Q118" s="126">
        <v>0</v>
      </c>
      <c r="R118" s="126">
        <v>0</v>
      </c>
      <c r="S118" s="126">
        <f t="shared" si="3"/>
        <v>2333213.5</v>
      </c>
      <c r="T118" s="126">
        <f t="shared" si="2"/>
        <v>4073.347590782123</v>
      </c>
      <c r="U118" s="126">
        <v>7765.7307960893859</v>
      </c>
    </row>
    <row r="119" spans="1:21" s="67" customFormat="1" ht="61.5" x14ac:dyDescent="0.9">
      <c r="A119" s="67">
        <v>1</v>
      </c>
      <c r="B119" s="118">
        <f>SUBTOTAL(103,$A$16:A119)</f>
        <v>104</v>
      </c>
      <c r="C119" s="115" t="s">
        <v>1217</v>
      </c>
      <c r="D119" s="122">
        <v>1955</v>
      </c>
      <c r="E119" s="127"/>
      <c r="F119" s="127" t="s">
        <v>274</v>
      </c>
      <c r="G119" s="122">
        <v>2</v>
      </c>
      <c r="H119" s="122">
        <v>1</v>
      </c>
      <c r="I119" s="126">
        <v>527.66</v>
      </c>
      <c r="J119" s="126">
        <v>427.66</v>
      </c>
      <c r="K119" s="126">
        <v>357.76</v>
      </c>
      <c r="L119" s="124">
        <v>20</v>
      </c>
      <c r="M119" s="122" t="s">
        <v>272</v>
      </c>
      <c r="N119" s="122" t="s">
        <v>276</v>
      </c>
      <c r="O119" s="125" t="s">
        <v>1425</v>
      </c>
      <c r="P119" s="126">
        <v>2031130.01</v>
      </c>
      <c r="Q119" s="126">
        <v>0</v>
      </c>
      <c r="R119" s="126">
        <v>0</v>
      </c>
      <c r="S119" s="126">
        <f t="shared" si="3"/>
        <v>2031130.01</v>
      </c>
      <c r="T119" s="126">
        <f t="shared" si="2"/>
        <v>3849.3158662775272</v>
      </c>
      <c r="U119" s="126">
        <v>6431.143035287876</v>
      </c>
    </row>
    <row r="120" spans="1:21" s="67" customFormat="1" ht="61.5" x14ac:dyDescent="0.9">
      <c r="B120" s="115" t="s">
        <v>806</v>
      </c>
      <c r="C120" s="119"/>
      <c r="D120" s="122" t="s">
        <v>943</v>
      </c>
      <c r="E120" s="122" t="s">
        <v>943</v>
      </c>
      <c r="F120" s="122" t="s">
        <v>943</v>
      </c>
      <c r="G120" s="122" t="s">
        <v>943</v>
      </c>
      <c r="H120" s="122" t="s">
        <v>943</v>
      </c>
      <c r="I120" s="123">
        <f>SUM(I121:I154)</f>
        <v>57909.200000000004</v>
      </c>
      <c r="J120" s="123">
        <f t="shared" ref="J120:L120" si="4">SUM(J121:J154)</f>
        <v>52115.3</v>
      </c>
      <c r="K120" s="123">
        <f t="shared" si="4"/>
        <v>46410</v>
      </c>
      <c r="L120" s="124">
        <f t="shared" si="4"/>
        <v>2372</v>
      </c>
      <c r="M120" s="122" t="s">
        <v>943</v>
      </c>
      <c r="N120" s="122" t="s">
        <v>943</v>
      </c>
      <c r="O120" s="125" t="s">
        <v>943</v>
      </c>
      <c r="P120" s="123">
        <v>103849651.88</v>
      </c>
      <c r="Q120" s="123">
        <f t="shared" ref="Q120:S120" si="5">SUM(Q121:Q154)</f>
        <v>0</v>
      </c>
      <c r="R120" s="123">
        <f t="shared" si="5"/>
        <v>0</v>
      </c>
      <c r="S120" s="123">
        <f t="shared" si="5"/>
        <v>103849651.88</v>
      </c>
      <c r="T120" s="126">
        <f t="shared" si="2"/>
        <v>1793.3187106711885</v>
      </c>
      <c r="U120" s="126">
        <f>MAX(U121:U154)</f>
        <v>11224.130013245034</v>
      </c>
    </row>
    <row r="121" spans="1:21" s="67" customFormat="1" ht="63" x14ac:dyDescent="0.9">
      <c r="A121" s="67">
        <v>1</v>
      </c>
      <c r="B121" s="118">
        <f>SUBTOTAL(103,$A$16:A121)</f>
        <v>105</v>
      </c>
      <c r="C121" s="115" t="s">
        <v>462</v>
      </c>
      <c r="D121" s="122">
        <v>1966</v>
      </c>
      <c r="E121" s="127"/>
      <c r="F121" s="127" t="s">
        <v>274</v>
      </c>
      <c r="G121" s="122">
        <v>2</v>
      </c>
      <c r="H121" s="122">
        <v>2</v>
      </c>
      <c r="I121" s="126">
        <v>774.9</v>
      </c>
      <c r="J121" s="126">
        <v>707.3</v>
      </c>
      <c r="K121" s="126">
        <v>707.3</v>
      </c>
      <c r="L121" s="124">
        <v>39</v>
      </c>
      <c r="M121" s="122" t="s">
        <v>272</v>
      </c>
      <c r="N121" s="122" t="s">
        <v>276</v>
      </c>
      <c r="O121" s="125" t="s">
        <v>350</v>
      </c>
      <c r="P121" s="126">
        <v>3118051.64</v>
      </c>
      <c r="Q121" s="126">
        <v>0</v>
      </c>
      <c r="R121" s="126">
        <v>0</v>
      </c>
      <c r="S121" s="126">
        <f t="shared" ref="S121:S154" si="6">P121-Q121-R121</f>
        <v>3118051.64</v>
      </c>
      <c r="T121" s="126">
        <f t="shared" si="2"/>
        <v>4023.8116402116407</v>
      </c>
      <c r="U121" s="126">
        <v>4903.1422248032004</v>
      </c>
    </row>
    <row r="122" spans="1:21" s="67" customFormat="1" ht="61.5" x14ac:dyDescent="0.9">
      <c r="A122" s="67">
        <v>1</v>
      </c>
      <c r="B122" s="118">
        <f>SUBTOTAL(103,$A$16:A122)</f>
        <v>106</v>
      </c>
      <c r="C122" s="115" t="s">
        <v>463</v>
      </c>
      <c r="D122" s="122">
        <v>1959</v>
      </c>
      <c r="E122" s="127"/>
      <c r="F122" s="127" t="s">
        <v>274</v>
      </c>
      <c r="G122" s="122">
        <v>2</v>
      </c>
      <c r="H122" s="122">
        <v>2</v>
      </c>
      <c r="I122" s="126">
        <v>680.5</v>
      </c>
      <c r="J122" s="126">
        <v>632.1</v>
      </c>
      <c r="K122" s="126">
        <v>632.1</v>
      </c>
      <c r="L122" s="124">
        <v>38</v>
      </c>
      <c r="M122" s="122" t="s">
        <v>272</v>
      </c>
      <c r="N122" s="122" t="s">
        <v>273</v>
      </c>
      <c r="O122" s="125" t="s">
        <v>275</v>
      </c>
      <c r="P122" s="126">
        <v>3540899.32</v>
      </c>
      <c r="Q122" s="126">
        <v>0</v>
      </c>
      <c r="R122" s="126">
        <v>0</v>
      </c>
      <c r="S122" s="126">
        <f t="shared" si="6"/>
        <v>3540899.32</v>
      </c>
      <c r="T122" s="126">
        <f t="shared" si="2"/>
        <v>5203.3788684790588</v>
      </c>
      <c r="U122" s="126">
        <v>6340.4823357825135</v>
      </c>
    </row>
    <row r="123" spans="1:21" s="67" customFormat="1" ht="61.5" x14ac:dyDescent="0.9">
      <c r="A123" s="67">
        <v>1</v>
      </c>
      <c r="B123" s="118">
        <f>SUBTOTAL(103,$A$16:A123)</f>
        <v>107</v>
      </c>
      <c r="C123" s="115" t="s">
        <v>464</v>
      </c>
      <c r="D123" s="122">
        <v>1958</v>
      </c>
      <c r="E123" s="127"/>
      <c r="F123" s="127" t="s">
        <v>274</v>
      </c>
      <c r="G123" s="122">
        <v>2</v>
      </c>
      <c r="H123" s="122">
        <v>2</v>
      </c>
      <c r="I123" s="126">
        <v>615.29999999999995</v>
      </c>
      <c r="J123" s="126">
        <v>568.6</v>
      </c>
      <c r="K123" s="126">
        <v>492.1</v>
      </c>
      <c r="L123" s="124">
        <v>25</v>
      </c>
      <c r="M123" s="122" t="s">
        <v>272</v>
      </c>
      <c r="N123" s="122" t="s">
        <v>273</v>
      </c>
      <c r="O123" s="125" t="s">
        <v>275</v>
      </c>
      <c r="P123" s="126">
        <v>3078184.83</v>
      </c>
      <c r="Q123" s="126">
        <v>0</v>
      </c>
      <c r="R123" s="126">
        <v>0</v>
      </c>
      <c r="S123" s="126">
        <f t="shared" si="6"/>
        <v>3078184.83</v>
      </c>
      <c r="T123" s="126">
        <f t="shared" si="2"/>
        <v>5002.7382252559728</v>
      </c>
      <c r="U123" s="126">
        <v>5796.5532992036406</v>
      </c>
    </row>
    <row r="124" spans="1:21" s="67" customFormat="1" ht="61.5" x14ac:dyDescent="0.9">
      <c r="A124" s="67">
        <v>1</v>
      </c>
      <c r="B124" s="118">
        <f>SUBTOTAL(103,$A$16:A124)</f>
        <v>108</v>
      </c>
      <c r="C124" s="115" t="s">
        <v>465</v>
      </c>
      <c r="D124" s="122">
        <v>1969</v>
      </c>
      <c r="E124" s="127"/>
      <c r="F124" s="127" t="s">
        <v>274</v>
      </c>
      <c r="G124" s="122">
        <v>2</v>
      </c>
      <c r="H124" s="122">
        <v>2</v>
      </c>
      <c r="I124" s="126">
        <v>725.2</v>
      </c>
      <c r="J124" s="126">
        <v>674.9</v>
      </c>
      <c r="K124" s="126">
        <v>506.2</v>
      </c>
      <c r="L124" s="124">
        <v>25</v>
      </c>
      <c r="M124" s="122" t="s">
        <v>272</v>
      </c>
      <c r="N124" s="122" t="s">
        <v>273</v>
      </c>
      <c r="O124" s="125" t="s">
        <v>275</v>
      </c>
      <c r="P124" s="126">
        <v>4950723</v>
      </c>
      <c r="Q124" s="126">
        <v>0</v>
      </c>
      <c r="R124" s="126">
        <v>0</v>
      </c>
      <c r="S124" s="126">
        <f t="shared" si="6"/>
        <v>4950723</v>
      </c>
      <c r="T124" s="126">
        <f t="shared" si="2"/>
        <v>6826.7002206287916</v>
      </c>
      <c r="U124" s="126">
        <v>7909.9345008273576</v>
      </c>
    </row>
    <row r="125" spans="1:21" s="67" customFormat="1" ht="61.5" x14ac:dyDescent="0.9">
      <c r="A125" s="67">
        <v>1</v>
      </c>
      <c r="B125" s="118">
        <f>SUBTOTAL(103,$A$16:A125)</f>
        <v>109</v>
      </c>
      <c r="C125" s="115" t="s">
        <v>466</v>
      </c>
      <c r="D125" s="122">
        <v>1959</v>
      </c>
      <c r="E125" s="127"/>
      <c r="F125" s="127" t="s">
        <v>274</v>
      </c>
      <c r="G125" s="122">
        <v>2</v>
      </c>
      <c r="H125" s="122">
        <v>2</v>
      </c>
      <c r="I125" s="126">
        <v>654.20000000000005</v>
      </c>
      <c r="J125" s="126">
        <v>602.9</v>
      </c>
      <c r="K125" s="126">
        <v>534.79999999999995</v>
      </c>
      <c r="L125" s="124">
        <v>34</v>
      </c>
      <c r="M125" s="122" t="s">
        <v>272</v>
      </c>
      <c r="N125" s="122" t="s">
        <v>273</v>
      </c>
      <c r="O125" s="125" t="s">
        <v>275</v>
      </c>
      <c r="P125" s="126">
        <v>3405823.46</v>
      </c>
      <c r="Q125" s="126">
        <v>0</v>
      </c>
      <c r="R125" s="126">
        <v>0</v>
      </c>
      <c r="S125" s="126">
        <f t="shared" si="6"/>
        <v>3405823.46</v>
      </c>
      <c r="T125" s="126">
        <f t="shared" si="2"/>
        <v>5206.0890553347599</v>
      </c>
      <c r="U125" s="126">
        <v>6343.7795891164778</v>
      </c>
    </row>
    <row r="126" spans="1:21" s="67" customFormat="1" ht="63" x14ac:dyDescent="0.9">
      <c r="A126" s="67">
        <v>1</v>
      </c>
      <c r="B126" s="118">
        <f>SUBTOTAL(103,$A$16:A126)</f>
        <v>110</v>
      </c>
      <c r="C126" s="115" t="s">
        <v>467</v>
      </c>
      <c r="D126" s="122">
        <v>1959</v>
      </c>
      <c r="E126" s="127"/>
      <c r="F126" s="127" t="s">
        <v>274</v>
      </c>
      <c r="G126" s="122">
        <v>2</v>
      </c>
      <c r="H126" s="122">
        <v>2</v>
      </c>
      <c r="I126" s="126">
        <v>672.5</v>
      </c>
      <c r="J126" s="126">
        <v>622.20000000000005</v>
      </c>
      <c r="K126" s="126">
        <v>579.9</v>
      </c>
      <c r="L126" s="124">
        <v>42</v>
      </c>
      <c r="M126" s="122" t="s">
        <v>272</v>
      </c>
      <c r="N126" s="122" t="s">
        <v>276</v>
      </c>
      <c r="O126" s="125" t="s">
        <v>350</v>
      </c>
      <c r="P126" s="126">
        <v>3270908.17</v>
      </c>
      <c r="Q126" s="126">
        <v>0</v>
      </c>
      <c r="R126" s="126">
        <v>0</v>
      </c>
      <c r="S126" s="126">
        <f t="shared" si="6"/>
        <v>3270908.17</v>
      </c>
      <c r="T126" s="126">
        <f t="shared" si="2"/>
        <v>4863.8039702602227</v>
      </c>
      <c r="U126" s="126">
        <v>5926.6995420074345</v>
      </c>
    </row>
    <row r="127" spans="1:21" s="67" customFormat="1" ht="61.5" x14ac:dyDescent="0.9">
      <c r="A127" s="67">
        <v>1</v>
      </c>
      <c r="B127" s="118">
        <f>SUBTOTAL(103,$A$16:A127)</f>
        <v>111</v>
      </c>
      <c r="C127" s="115" t="s">
        <v>468</v>
      </c>
      <c r="D127" s="122">
        <v>1962</v>
      </c>
      <c r="E127" s="127"/>
      <c r="F127" s="127" t="s">
        <v>274</v>
      </c>
      <c r="G127" s="122">
        <v>3</v>
      </c>
      <c r="H127" s="122">
        <v>2</v>
      </c>
      <c r="I127" s="126">
        <v>1048.7</v>
      </c>
      <c r="J127" s="126">
        <v>975.1</v>
      </c>
      <c r="K127" s="126">
        <v>975.1</v>
      </c>
      <c r="L127" s="124">
        <v>56</v>
      </c>
      <c r="M127" s="122" t="s">
        <v>272</v>
      </c>
      <c r="N127" s="122" t="s">
        <v>276</v>
      </c>
      <c r="O127" s="125" t="s">
        <v>357</v>
      </c>
      <c r="P127" s="126">
        <v>3319896.5999999996</v>
      </c>
      <c r="Q127" s="126">
        <v>0</v>
      </c>
      <c r="R127" s="126">
        <v>0</v>
      </c>
      <c r="S127" s="126">
        <f t="shared" si="6"/>
        <v>3319896.5999999996</v>
      </c>
      <c r="T127" s="126">
        <f t="shared" si="2"/>
        <v>3165.7257556975296</v>
      </c>
      <c r="U127" s="126">
        <v>3668.0508248307424</v>
      </c>
    </row>
    <row r="128" spans="1:21" s="67" customFormat="1" ht="63" x14ac:dyDescent="0.9">
      <c r="A128" s="67">
        <v>1</v>
      </c>
      <c r="B128" s="118">
        <f>SUBTOTAL(103,$A$16:A128)</f>
        <v>112</v>
      </c>
      <c r="C128" s="115" t="s">
        <v>469</v>
      </c>
      <c r="D128" s="122">
        <v>1962</v>
      </c>
      <c r="E128" s="127"/>
      <c r="F128" s="127" t="s">
        <v>274</v>
      </c>
      <c r="G128" s="122">
        <v>2</v>
      </c>
      <c r="H128" s="122">
        <v>2</v>
      </c>
      <c r="I128" s="126">
        <v>637.20000000000005</v>
      </c>
      <c r="J128" s="126">
        <v>631.1</v>
      </c>
      <c r="K128" s="126">
        <v>631.1</v>
      </c>
      <c r="L128" s="124">
        <v>42</v>
      </c>
      <c r="M128" s="122" t="s">
        <v>272</v>
      </c>
      <c r="N128" s="122" t="s">
        <v>276</v>
      </c>
      <c r="O128" s="125" t="s">
        <v>350</v>
      </c>
      <c r="P128" s="126">
        <v>4114942.04</v>
      </c>
      <c r="Q128" s="126">
        <v>0</v>
      </c>
      <c r="R128" s="126">
        <v>0</v>
      </c>
      <c r="S128" s="126">
        <f t="shared" si="6"/>
        <v>4114942.04</v>
      </c>
      <c r="T128" s="126">
        <f t="shared" si="2"/>
        <v>6457.8500313873192</v>
      </c>
      <c r="U128" s="126">
        <v>7869.0952762084107</v>
      </c>
    </row>
    <row r="129" spans="1:21" s="67" customFormat="1" ht="63" x14ac:dyDescent="0.9">
      <c r="A129" s="67">
        <v>1</v>
      </c>
      <c r="B129" s="118">
        <f>SUBTOTAL(103,$A$16:A129)</f>
        <v>113</v>
      </c>
      <c r="C129" s="115" t="s">
        <v>470</v>
      </c>
      <c r="D129" s="122">
        <v>1962</v>
      </c>
      <c r="E129" s="127"/>
      <c r="F129" s="127" t="s">
        <v>274</v>
      </c>
      <c r="G129" s="122">
        <v>2</v>
      </c>
      <c r="H129" s="122">
        <v>2</v>
      </c>
      <c r="I129" s="126">
        <v>695</v>
      </c>
      <c r="J129" s="126">
        <v>644</v>
      </c>
      <c r="K129" s="126">
        <v>598</v>
      </c>
      <c r="L129" s="124">
        <v>42</v>
      </c>
      <c r="M129" s="122" t="s">
        <v>272</v>
      </c>
      <c r="N129" s="122" t="s">
        <v>276</v>
      </c>
      <c r="O129" s="125" t="s">
        <v>350</v>
      </c>
      <c r="P129" s="126">
        <v>2525455.6799999997</v>
      </c>
      <c r="Q129" s="126">
        <v>0</v>
      </c>
      <c r="R129" s="126">
        <v>0</v>
      </c>
      <c r="S129" s="126">
        <f t="shared" si="6"/>
        <v>2525455.6799999997</v>
      </c>
      <c r="T129" s="126">
        <f t="shared" si="2"/>
        <v>3633.7491798561146</v>
      </c>
      <c r="U129" s="126">
        <v>4427.8387338129496</v>
      </c>
    </row>
    <row r="130" spans="1:21" s="67" customFormat="1" ht="61.5" x14ac:dyDescent="0.9">
      <c r="A130" s="67">
        <v>1</v>
      </c>
      <c r="B130" s="118">
        <f>SUBTOTAL(103,$A$16:A130)</f>
        <v>114</v>
      </c>
      <c r="C130" s="115" t="s">
        <v>471</v>
      </c>
      <c r="D130" s="122">
        <v>1963</v>
      </c>
      <c r="E130" s="127"/>
      <c r="F130" s="127" t="s">
        <v>274</v>
      </c>
      <c r="G130" s="122">
        <v>4</v>
      </c>
      <c r="H130" s="122">
        <v>3</v>
      </c>
      <c r="I130" s="126">
        <v>2084.9</v>
      </c>
      <c r="J130" s="126">
        <v>1940.4</v>
      </c>
      <c r="K130" s="126">
        <v>1400.4</v>
      </c>
      <c r="L130" s="124">
        <v>83</v>
      </c>
      <c r="M130" s="122" t="s">
        <v>272</v>
      </c>
      <c r="N130" s="122" t="s">
        <v>276</v>
      </c>
      <c r="O130" s="125" t="s">
        <v>357</v>
      </c>
      <c r="P130" s="126">
        <v>4863357.3</v>
      </c>
      <c r="Q130" s="126">
        <v>0</v>
      </c>
      <c r="R130" s="126">
        <v>0</v>
      </c>
      <c r="S130" s="126">
        <f t="shared" si="6"/>
        <v>4863357.3</v>
      </c>
      <c r="T130" s="126">
        <f t="shared" si="2"/>
        <v>2332.6573456760516</v>
      </c>
      <c r="U130" s="126">
        <v>2702.7943546453066</v>
      </c>
    </row>
    <row r="131" spans="1:21" s="67" customFormat="1" ht="63" x14ac:dyDescent="0.9">
      <c r="A131" s="67">
        <v>1</v>
      </c>
      <c r="B131" s="118">
        <f>SUBTOTAL(103,$A$16:A131)</f>
        <v>115</v>
      </c>
      <c r="C131" s="115" t="s">
        <v>472</v>
      </c>
      <c r="D131" s="122">
        <v>1961</v>
      </c>
      <c r="E131" s="127"/>
      <c r="F131" s="127" t="s">
        <v>274</v>
      </c>
      <c r="G131" s="122">
        <v>2</v>
      </c>
      <c r="H131" s="122">
        <v>2</v>
      </c>
      <c r="I131" s="126">
        <v>695.4</v>
      </c>
      <c r="J131" s="126">
        <v>646.20000000000005</v>
      </c>
      <c r="K131" s="126">
        <v>646.20000000000005</v>
      </c>
      <c r="L131" s="124">
        <v>42</v>
      </c>
      <c r="M131" s="122" t="s">
        <v>272</v>
      </c>
      <c r="N131" s="122" t="s">
        <v>276</v>
      </c>
      <c r="O131" s="125" t="s">
        <v>350</v>
      </c>
      <c r="P131" s="126">
        <v>2525455.6799999997</v>
      </c>
      <c r="Q131" s="126">
        <v>0</v>
      </c>
      <c r="R131" s="126">
        <v>0</v>
      </c>
      <c r="S131" s="126">
        <f t="shared" si="6"/>
        <v>2525455.6799999997</v>
      </c>
      <c r="T131" s="126">
        <f t="shared" si="2"/>
        <v>3631.6590163934425</v>
      </c>
      <c r="U131" s="126">
        <v>4425.2918032786883</v>
      </c>
    </row>
    <row r="132" spans="1:21" s="67" customFormat="1" ht="61.5" x14ac:dyDescent="0.9">
      <c r="A132" s="67">
        <v>1</v>
      </c>
      <c r="B132" s="118">
        <f>SUBTOTAL(103,$A$16:A132)</f>
        <v>116</v>
      </c>
      <c r="C132" s="115" t="s">
        <v>473</v>
      </c>
      <c r="D132" s="122">
        <v>1966</v>
      </c>
      <c r="E132" s="127"/>
      <c r="F132" s="127" t="s">
        <v>274</v>
      </c>
      <c r="G132" s="122">
        <v>5</v>
      </c>
      <c r="H132" s="122">
        <v>3</v>
      </c>
      <c r="I132" s="126">
        <v>2708.5</v>
      </c>
      <c r="J132" s="126">
        <v>2523.1</v>
      </c>
      <c r="K132" s="126">
        <v>2480.8000000000002</v>
      </c>
      <c r="L132" s="124">
        <v>137</v>
      </c>
      <c r="M132" s="122" t="s">
        <v>272</v>
      </c>
      <c r="N132" s="122" t="s">
        <v>351</v>
      </c>
      <c r="O132" s="125" t="s">
        <v>358</v>
      </c>
      <c r="P132" s="126">
        <v>4556829.16</v>
      </c>
      <c r="Q132" s="126">
        <v>0</v>
      </c>
      <c r="R132" s="126">
        <v>0</v>
      </c>
      <c r="S132" s="126">
        <f t="shared" si="6"/>
        <v>4556829.16</v>
      </c>
      <c r="T132" s="126">
        <f t="shared" si="2"/>
        <v>1682.4180025844564</v>
      </c>
      <c r="U132" s="126">
        <v>2237.4804725863023</v>
      </c>
    </row>
    <row r="133" spans="1:21" s="67" customFormat="1" ht="61.5" x14ac:dyDescent="0.9">
      <c r="A133" s="67">
        <v>1</v>
      </c>
      <c r="B133" s="118">
        <f>SUBTOTAL(103,$A$16:A133)</f>
        <v>117</v>
      </c>
      <c r="C133" s="115" t="s">
        <v>474</v>
      </c>
      <c r="D133" s="122">
        <v>1968</v>
      </c>
      <c r="E133" s="127">
        <v>2010</v>
      </c>
      <c r="F133" s="127" t="s">
        <v>340</v>
      </c>
      <c r="G133" s="122">
        <v>2</v>
      </c>
      <c r="H133" s="122">
        <v>2</v>
      </c>
      <c r="I133" s="126">
        <v>522</v>
      </c>
      <c r="J133" s="126">
        <v>471.1</v>
      </c>
      <c r="K133" s="126">
        <v>341.6</v>
      </c>
      <c r="L133" s="124">
        <v>22</v>
      </c>
      <c r="M133" s="122" t="s">
        <v>272</v>
      </c>
      <c r="N133" s="122" t="s">
        <v>273</v>
      </c>
      <c r="O133" s="125" t="s">
        <v>275</v>
      </c>
      <c r="P133" s="126">
        <v>1777787.8900000001</v>
      </c>
      <c r="Q133" s="126">
        <v>0</v>
      </c>
      <c r="R133" s="126">
        <v>0</v>
      </c>
      <c r="S133" s="126">
        <f t="shared" si="6"/>
        <v>1777787.8900000001</v>
      </c>
      <c r="T133" s="126">
        <f t="shared" si="2"/>
        <v>3405.7239272030652</v>
      </c>
      <c r="U133" s="126">
        <v>6860.5105363984676</v>
      </c>
    </row>
    <row r="134" spans="1:21" s="67" customFormat="1" ht="61.5" x14ac:dyDescent="0.9">
      <c r="A134" s="67">
        <v>1</v>
      </c>
      <c r="B134" s="118">
        <f>SUBTOTAL(103,$A$16:A134)</f>
        <v>118</v>
      </c>
      <c r="C134" s="115" t="s">
        <v>1218</v>
      </c>
      <c r="D134" s="122">
        <v>1975</v>
      </c>
      <c r="E134" s="127">
        <v>2008</v>
      </c>
      <c r="F134" s="127" t="s">
        <v>321</v>
      </c>
      <c r="G134" s="122">
        <v>5</v>
      </c>
      <c r="H134" s="122">
        <v>6</v>
      </c>
      <c r="I134" s="126">
        <v>5015.3</v>
      </c>
      <c r="J134" s="126">
        <v>4555.7</v>
      </c>
      <c r="K134" s="126">
        <v>4267.7</v>
      </c>
      <c r="L134" s="124">
        <v>201</v>
      </c>
      <c r="M134" s="122" t="s">
        <v>272</v>
      </c>
      <c r="N134" s="122" t="s">
        <v>276</v>
      </c>
      <c r="O134" s="125" t="s">
        <v>1399</v>
      </c>
      <c r="P134" s="126">
        <v>4164727.9000000004</v>
      </c>
      <c r="Q134" s="126">
        <v>0</v>
      </c>
      <c r="R134" s="126">
        <v>0</v>
      </c>
      <c r="S134" s="126">
        <f t="shared" si="6"/>
        <v>4164727.9000000004</v>
      </c>
      <c r="T134" s="126">
        <f t="shared" si="2"/>
        <v>830.40454210117048</v>
      </c>
      <c r="U134" s="126">
        <v>3659.05</v>
      </c>
    </row>
    <row r="135" spans="1:21" s="67" customFormat="1" ht="61.5" x14ac:dyDescent="0.9">
      <c r="A135" s="67">
        <v>1</v>
      </c>
      <c r="B135" s="118">
        <f>SUBTOTAL(103,$A$16:A135)</f>
        <v>119</v>
      </c>
      <c r="C135" s="115" t="s">
        <v>1219</v>
      </c>
      <c r="D135" s="122">
        <v>1933</v>
      </c>
      <c r="E135" s="127">
        <v>2008</v>
      </c>
      <c r="F135" s="127" t="s">
        <v>274</v>
      </c>
      <c r="G135" s="122">
        <v>3</v>
      </c>
      <c r="H135" s="122">
        <v>4</v>
      </c>
      <c r="I135" s="126">
        <v>1863.4</v>
      </c>
      <c r="J135" s="126">
        <v>1677.4</v>
      </c>
      <c r="K135" s="126">
        <v>1604.4</v>
      </c>
      <c r="L135" s="124">
        <v>86</v>
      </c>
      <c r="M135" s="122" t="s">
        <v>272</v>
      </c>
      <c r="N135" s="122" t="s">
        <v>276</v>
      </c>
      <c r="O135" s="125" t="s">
        <v>357</v>
      </c>
      <c r="P135" s="126">
        <v>4191599.92</v>
      </c>
      <c r="Q135" s="126">
        <v>0</v>
      </c>
      <c r="R135" s="126">
        <v>0</v>
      </c>
      <c r="S135" s="126">
        <f t="shared" si="6"/>
        <v>4191599.92</v>
      </c>
      <c r="T135" s="126">
        <f t="shared" si="2"/>
        <v>2249.4364709670494</v>
      </c>
      <c r="U135" s="126">
        <v>3426.9700000000003</v>
      </c>
    </row>
    <row r="136" spans="1:21" s="67" customFormat="1" ht="61.5" x14ac:dyDescent="0.9">
      <c r="A136" s="67">
        <v>1</v>
      </c>
      <c r="B136" s="118">
        <f>SUBTOTAL(103,$A$16:A136)</f>
        <v>120</v>
      </c>
      <c r="C136" s="115" t="s">
        <v>1220</v>
      </c>
      <c r="D136" s="122" t="s">
        <v>387</v>
      </c>
      <c r="E136" s="127"/>
      <c r="F136" s="127" t="s">
        <v>274</v>
      </c>
      <c r="G136" s="122" t="s">
        <v>313</v>
      </c>
      <c r="H136" s="122" t="s">
        <v>313</v>
      </c>
      <c r="I136" s="126">
        <v>440.7</v>
      </c>
      <c r="J136" s="126">
        <v>397.9</v>
      </c>
      <c r="K136" s="126">
        <v>298.60000000000002</v>
      </c>
      <c r="L136" s="124">
        <v>21</v>
      </c>
      <c r="M136" s="122" t="s">
        <v>272</v>
      </c>
      <c r="N136" s="122" t="s">
        <v>273</v>
      </c>
      <c r="O136" s="125" t="s">
        <v>275</v>
      </c>
      <c r="P136" s="126">
        <v>1317384.27</v>
      </c>
      <c r="Q136" s="126">
        <v>0</v>
      </c>
      <c r="R136" s="126">
        <v>0</v>
      </c>
      <c r="S136" s="126">
        <f t="shared" si="6"/>
        <v>1317384.27</v>
      </c>
      <c r="T136" s="126">
        <f t="shared" si="2"/>
        <v>2989.299455411845</v>
      </c>
      <c r="U136" s="126">
        <v>8993.4899886544154</v>
      </c>
    </row>
    <row r="137" spans="1:21" s="67" customFormat="1" ht="61.5" x14ac:dyDescent="0.9">
      <c r="A137" s="67">
        <v>1</v>
      </c>
      <c r="B137" s="118">
        <f>SUBTOTAL(103,$A$16:A137)</f>
        <v>121</v>
      </c>
      <c r="C137" s="115" t="s">
        <v>1221</v>
      </c>
      <c r="D137" s="122">
        <v>1928</v>
      </c>
      <c r="E137" s="127">
        <v>2008</v>
      </c>
      <c r="F137" s="127" t="s">
        <v>274</v>
      </c>
      <c r="G137" s="122">
        <v>2</v>
      </c>
      <c r="H137" s="122">
        <v>2</v>
      </c>
      <c r="I137" s="126">
        <v>498.3</v>
      </c>
      <c r="J137" s="126">
        <v>446.6</v>
      </c>
      <c r="K137" s="126">
        <v>412.2</v>
      </c>
      <c r="L137" s="124">
        <v>28</v>
      </c>
      <c r="M137" s="122" t="s">
        <v>272</v>
      </c>
      <c r="N137" s="122" t="s">
        <v>273</v>
      </c>
      <c r="O137" s="125" t="s">
        <v>275</v>
      </c>
      <c r="P137" s="126">
        <v>1666784.6600000001</v>
      </c>
      <c r="Q137" s="126">
        <v>0</v>
      </c>
      <c r="R137" s="126">
        <v>0</v>
      </c>
      <c r="S137" s="126">
        <f t="shared" si="6"/>
        <v>1666784.6600000001</v>
      </c>
      <c r="T137" s="126">
        <f t="shared" si="2"/>
        <v>3344.9421232189447</v>
      </c>
      <c r="U137" s="126">
        <v>11224.130013245034</v>
      </c>
    </row>
    <row r="138" spans="1:21" s="67" customFormat="1" ht="61.5" x14ac:dyDescent="0.9">
      <c r="A138" s="67">
        <v>1</v>
      </c>
      <c r="B138" s="118">
        <f>SUBTOTAL(103,$A$16:A138)</f>
        <v>122</v>
      </c>
      <c r="C138" s="115" t="s">
        <v>1222</v>
      </c>
      <c r="D138" s="122" t="s">
        <v>1431</v>
      </c>
      <c r="E138" s="127"/>
      <c r="F138" s="127" t="s">
        <v>274</v>
      </c>
      <c r="G138" s="122" t="s">
        <v>313</v>
      </c>
      <c r="H138" s="122" t="s">
        <v>313</v>
      </c>
      <c r="I138" s="126">
        <v>823.9</v>
      </c>
      <c r="J138" s="126">
        <v>758.2</v>
      </c>
      <c r="K138" s="126">
        <v>682.4</v>
      </c>
      <c r="L138" s="124">
        <v>35</v>
      </c>
      <c r="M138" s="122" t="s">
        <v>272</v>
      </c>
      <c r="N138" s="122" t="s">
        <v>276</v>
      </c>
      <c r="O138" s="125" t="s">
        <v>357</v>
      </c>
      <c r="P138" s="126">
        <v>2074334.5899999999</v>
      </c>
      <c r="Q138" s="126">
        <v>0</v>
      </c>
      <c r="R138" s="126">
        <v>0</v>
      </c>
      <c r="S138" s="126">
        <f t="shared" si="6"/>
        <v>2074334.5899999999</v>
      </c>
      <c r="T138" s="126">
        <f t="shared" si="2"/>
        <v>2517.7018934336688</v>
      </c>
      <c r="U138" s="126">
        <v>8282.3845539507238</v>
      </c>
    </row>
    <row r="139" spans="1:21" s="67" customFormat="1" ht="61.5" x14ac:dyDescent="0.9">
      <c r="A139" s="67">
        <v>1</v>
      </c>
      <c r="B139" s="118">
        <f>SUBTOTAL(103,$A$16:A139)</f>
        <v>123</v>
      </c>
      <c r="C139" s="115" t="s">
        <v>1223</v>
      </c>
      <c r="D139" s="122">
        <v>1956</v>
      </c>
      <c r="E139" s="127"/>
      <c r="F139" s="127" t="s">
        <v>274</v>
      </c>
      <c r="G139" s="122">
        <v>2</v>
      </c>
      <c r="H139" s="122" t="s">
        <v>314</v>
      </c>
      <c r="I139" s="126">
        <v>462.2</v>
      </c>
      <c r="J139" s="126">
        <v>420.8</v>
      </c>
      <c r="K139" s="126">
        <v>371.7</v>
      </c>
      <c r="L139" s="124">
        <v>21</v>
      </c>
      <c r="M139" s="122" t="s">
        <v>272</v>
      </c>
      <c r="N139" s="122" t="s">
        <v>273</v>
      </c>
      <c r="O139" s="125" t="s">
        <v>275</v>
      </c>
      <c r="P139" s="126">
        <v>154761.32999999999</v>
      </c>
      <c r="Q139" s="126">
        <v>0</v>
      </c>
      <c r="R139" s="126">
        <v>0</v>
      </c>
      <c r="S139" s="126">
        <f t="shared" si="6"/>
        <v>154761.32999999999</v>
      </c>
      <c r="T139" s="126">
        <f t="shared" si="2"/>
        <v>334.8362829943747</v>
      </c>
      <c r="U139" s="126">
        <v>673.78</v>
      </c>
    </row>
    <row r="140" spans="1:21" s="67" customFormat="1" ht="61.5" x14ac:dyDescent="0.9">
      <c r="A140" s="67">
        <v>1</v>
      </c>
      <c r="B140" s="118">
        <f>SUBTOTAL(103,$A$16:A140)</f>
        <v>124</v>
      </c>
      <c r="C140" s="115" t="s">
        <v>1224</v>
      </c>
      <c r="D140" s="122">
        <v>1957</v>
      </c>
      <c r="E140" s="127"/>
      <c r="F140" s="127" t="s">
        <v>274</v>
      </c>
      <c r="G140" s="122">
        <v>2</v>
      </c>
      <c r="H140" s="122">
        <v>1</v>
      </c>
      <c r="I140" s="126">
        <v>457.9</v>
      </c>
      <c r="J140" s="126">
        <v>417.4</v>
      </c>
      <c r="K140" s="126">
        <v>417.4</v>
      </c>
      <c r="L140" s="124">
        <v>16</v>
      </c>
      <c r="M140" s="122" t="s">
        <v>272</v>
      </c>
      <c r="N140" s="122" t="s">
        <v>273</v>
      </c>
      <c r="O140" s="125" t="s">
        <v>275</v>
      </c>
      <c r="P140" s="126">
        <v>1595279.4000000001</v>
      </c>
      <c r="Q140" s="126">
        <v>0</v>
      </c>
      <c r="R140" s="126">
        <v>0</v>
      </c>
      <c r="S140" s="126">
        <f t="shared" si="6"/>
        <v>1595279.4000000001</v>
      </c>
      <c r="T140" s="126">
        <f t="shared" si="2"/>
        <v>3483.9034723738814</v>
      </c>
      <c r="U140" s="126">
        <v>8749.5201485040416</v>
      </c>
    </row>
    <row r="141" spans="1:21" s="67" customFormat="1" ht="61.5" x14ac:dyDescent="0.9">
      <c r="A141" s="67">
        <v>1</v>
      </c>
      <c r="B141" s="118">
        <f>SUBTOTAL(103,$A$16:A141)</f>
        <v>125</v>
      </c>
      <c r="C141" s="115" t="s">
        <v>1225</v>
      </c>
      <c r="D141" s="122">
        <v>1949</v>
      </c>
      <c r="E141" s="127">
        <v>2008</v>
      </c>
      <c r="F141" s="127" t="s">
        <v>274</v>
      </c>
      <c r="G141" s="122" t="s">
        <v>313</v>
      </c>
      <c r="H141" s="122" t="s">
        <v>314</v>
      </c>
      <c r="I141" s="126">
        <v>490.9</v>
      </c>
      <c r="J141" s="126">
        <v>446.3</v>
      </c>
      <c r="K141" s="126">
        <v>327.2</v>
      </c>
      <c r="L141" s="124">
        <v>28</v>
      </c>
      <c r="M141" s="122" t="s">
        <v>272</v>
      </c>
      <c r="N141" s="122" t="s">
        <v>273</v>
      </c>
      <c r="O141" s="125" t="s">
        <v>275</v>
      </c>
      <c r="P141" s="126">
        <v>1453072.52</v>
      </c>
      <c r="Q141" s="126">
        <v>0</v>
      </c>
      <c r="R141" s="126">
        <v>0</v>
      </c>
      <c r="S141" s="126">
        <f t="shared" si="6"/>
        <v>1453072.52</v>
      </c>
      <c r="T141" s="126">
        <f t="shared" si="2"/>
        <v>2960.0173558769607</v>
      </c>
      <c r="U141" s="126">
        <v>7525.5176206966798</v>
      </c>
    </row>
    <row r="142" spans="1:21" s="67" customFormat="1" ht="61.5" x14ac:dyDescent="0.9">
      <c r="A142" s="67">
        <v>1</v>
      </c>
      <c r="B142" s="118">
        <f>SUBTOTAL(103,$A$16:A142)</f>
        <v>126</v>
      </c>
      <c r="C142" s="115" t="s">
        <v>1226</v>
      </c>
      <c r="D142" s="122">
        <v>1964</v>
      </c>
      <c r="E142" s="127"/>
      <c r="F142" s="127" t="s">
        <v>274</v>
      </c>
      <c r="G142" s="122">
        <v>2</v>
      </c>
      <c r="H142" s="122">
        <v>1</v>
      </c>
      <c r="I142" s="126">
        <v>405.1</v>
      </c>
      <c r="J142" s="126">
        <v>380.8</v>
      </c>
      <c r="K142" s="126">
        <v>380.8</v>
      </c>
      <c r="L142" s="124">
        <v>13</v>
      </c>
      <c r="M142" s="122" t="s">
        <v>272</v>
      </c>
      <c r="N142" s="122" t="s">
        <v>273</v>
      </c>
      <c r="O142" s="125" t="s">
        <v>275</v>
      </c>
      <c r="P142" s="126">
        <v>741685.94</v>
      </c>
      <c r="Q142" s="126">
        <v>0</v>
      </c>
      <c r="R142" s="126">
        <v>0</v>
      </c>
      <c r="S142" s="126">
        <f t="shared" si="6"/>
        <v>741685.94</v>
      </c>
      <c r="T142" s="126">
        <f t="shared" ref="T142:T205" si="7">P142/I142</f>
        <v>1830.8712416687235</v>
      </c>
      <c r="U142" s="126">
        <v>3697.5499999999997</v>
      </c>
    </row>
    <row r="143" spans="1:21" s="67" customFormat="1" ht="61.5" x14ac:dyDescent="0.9">
      <c r="A143" s="67">
        <v>1</v>
      </c>
      <c r="B143" s="118">
        <f>SUBTOTAL(103,$A$16:A143)</f>
        <v>127</v>
      </c>
      <c r="C143" s="115" t="s">
        <v>1227</v>
      </c>
      <c r="D143" s="122">
        <v>1956</v>
      </c>
      <c r="E143" s="127"/>
      <c r="F143" s="127" t="s">
        <v>334</v>
      </c>
      <c r="G143" s="122">
        <v>2</v>
      </c>
      <c r="H143" s="122">
        <v>2</v>
      </c>
      <c r="I143" s="126">
        <v>752.8</v>
      </c>
      <c r="J143" s="126">
        <v>577.9</v>
      </c>
      <c r="K143" s="126">
        <v>454.1</v>
      </c>
      <c r="L143" s="124">
        <v>17</v>
      </c>
      <c r="M143" s="122" t="s">
        <v>272</v>
      </c>
      <c r="N143" s="122" t="s">
        <v>273</v>
      </c>
      <c r="O143" s="125" t="s">
        <v>275</v>
      </c>
      <c r="P143" s="126">
        <v>2205149.9699999997</v>
      </c>
      <c r="Q143" s="126">
        <v>0</v>
      </c>
      <c r="R143" s="126">
        <v>0</v>
      </c>
      <c r="S143" s="126">
        <f t="shared" si="6"/>
        <v>2205149.9699999997</v>
      </c>
      <c r="T143" s="126">
        <f t="shared" si="7"/>
        <v>2929.2640409139212</v>
      </c>
      <c r="U143" s="126">
        <v>8700.286191285868</v>
      </c>
    </row>
    <row r="144" spans="1:21" s="67" customFormat="1" ht="61.5" x14ac:dyDescent="0.9">
      <c r="A144" s="67">
        <v>1</v>
      </c>
      <c r="B144" s="118">
        <f>SUBTOTAL(103,$A$16:A144)</f>
        <v>128</v>
      </c>
      <c r="C144" s="115" t="s">
        <v>1228</v>
      </c>
      <c r="D144" s="122">
        <v>1961</v>
      </c>
      <c r="E144" s="127"/>
      <c r="F144" s="127" t="s">
        <v>274</v>
      </c>
      <c r="G144" s="122">
        <v>2</v>
      </c>
      <c r="H144" s="122">
        <v>2</v>
      </c>
      <c r="I144" s="126">
        <v>588.1</v>
      </c>
      <c r="J144" s="126">
        <v>546.70000000000005</v>
      </c>
      <c r="K144" s="126">
        <v>401.1</v>
      </c>
      <c r="L144" s="124">
        <v>45</v>
      </c>
      <c r="M144" s="122" t="s">
        <v>272</v>
      </c>
      <c r="N144" s="122" t="s">
        <v>273</v>
      </c>
      <c r="O144" s="125" t="s">
        <v>275</v>
      </c>
      <c r="P144" s="126">
        <v>1508346.1500000001</v>
      </c>
      <c r="Q144" s="126">
        <v>0</v>
      </c>
      <c r="R144" s="126">
        <v>0</v>
      </c>
      <c r="S144" s="126">
        <f t="shared" si="6"/>
        <v>1508346.1500000001</v>
      </c>
      <c r="T144" s="126">
        <f t="shared" si="7"/>
        <v>2564.778354021425</v>
      </c>
      <c r="U144" s="126">
        <v>7347.2989981295705</v>
      </c>
    </row>
    <row r="145" spans="1:21" s="67" customFormat="1" ht="61.5" x14ac:dyDescent="0.9">
      <c r="A145" s="67">
        <v>1</v>
      </c>
      <c r="B145" s="118">
        <f>SUBTOTAL(103,$A$16:A145)</f>
        <v>129</v>
      </c>
      <c r="C145" s="115" t="s">
        <v>1229</v>
      </c>
      <c r="D145" s="122">
        <v>1955</v>
      </c>
      <c r="E145" s="127"/>
      <c r="F145" s="127" t="s">
        <v>274</v>
      </c>
      <c r="G145" s="122">
        <v>2</v>
      </c>
      <c r="H145" s="122">
        <v>1</v>
      </c>
      <c r="I145" s="126">
        <v>421.3</v>
      </c>
      <c r="J145" s="126">
        <v>388.3</v>
      </c>
      <c r="K145" s="126">
        <v>388.3</v>
      </c>
      <c r="L145" s="124">
        <v>21</v>
      </c>
      <c r="M145" s="122" t="s">
        <v>272</v>
      </c>
      <c r="N145" s="122" t="s">
        <v>273</v>
      </c>
      <c r="O145" s="125" t="s">
        <v>275</v>
      </c>
      <c r="P145" s="126">
        <v>1971369.43</v>
      </c>
      <c r="Q145" s="126">
        <v>0</v>
      </c>
      <c r="R145" s="126">
        <v>0</v>
      </c>
      <c r="S145" s="126">
        <f t="shared" si="6"/>
        <v>1971369.43</v>
      </c>
      <c r="T145" s="126">
        <f t="shared" si="7"/>
        <v>4679.2533349157366</v>
      </c>
      <c r="U145" s="126">
        <v>7104.4813197246613</v>
      </c>
    </row>
    <row r="146" spans="1:21" s="67" customFormat="1" ht="61.5" x14ac:dyDescent="0.9">
      <c r="A146" s="67">
        <v>1</v>
      </c>
      <c r="B146" s="118">
        <f>SUBTOTAL(103,$A$16:A146)</f>
        <v>130</v>
      </c>
      <c r="C146" s="115" t="s">
        <v>1230</v>
      </c>
      <c r="D146" s="122">
        <v>1993</v>
      </c>
      <c r="E146" s="127">
        <v>2016</v>
      </c>
      <c r="F146" s="127" t="s">
        <v>295</v>
      </c>
      <c r="G146" s="122">
        <v>9</v>
      </c>
      <c r="H146" s="122">
        <v>4</v>
      </c>
      <c r="I146" s="126">
        <v>9105.2999999999993</v>
      </c>
      <c r="J146" s="126">
        <v>7487.4</v>
      </c>
      <c r="K146" s="126">
        <v>7487.4</v>
      </c>
      <c r="L146" s="124">
        <v>293</v>
      </c>
      <c r="M146" s="122" t="s">
        <v>272</v>
      </c>
      <c r="N146" s="122" t="s">
        <v>351</v>
      </c>
      <c r="O146" s="125" t="s">
        <v>1432</v>
      </c>
      <c r="P146" s="126">
        <v>7871837.8899999997</v>
      </c>
      <c r="Q146" s="126">
        <v>0</v>
      </c>
      <c r="R146" s="126">
        <v>0</v>
      </c>
      <c r="S146" s="126">
        <f t="shared" si="6"/>
        <v>7871837.8899999997</v>
      </c>
      <c r="T146" s="126">
        <f t="shared" si="7"/>
        <v>864.53361119348074</v>
      </c>
      <c r="U146" s="126">
        <v>987.68980703546299</v>
      </c>
    </row>
    <row r="147" spans="1:21" s="67" customFormat="1" ht="61.5" x14ac:dyDescent="0.9">
      <c r="A147" s="67">
        <v>1</v>
      </c>
      <c r="B147" s="118">
        <f>SUBTOTAL(103,$A$16:A147)</f>
        <v>131</v>
      </c>
      <c r="C147" s="115" t="s">
        <v>1231</v>
      </c>
      <c r="D147" s="122">
        <v>1977</v>
      </c>
      <c r="E147" s="127">
        <v>2014</v>
      </c>
      <c r="F147" s="127" t="s">
        <v>274</v>
      </c>
      <c r="G147" s="122">
        <v>5</v>
      </c>
      <c r="H147" s="122">
        <v>4</v>
      </c>
      <c r="I147" s="126">
        <v>3912.3</v>
      </c>
      <c r="J147" s="126">
        <v>3639.1</v>
      </c>
      <c r="K147" s="126">
        <v>2451.4</v>
      </c>
      <c r="L147" s="124">
        <v>85</v>
      </c>
      <c r="M147" s="122" t="s">
        <v>272</v>
      </c>
      <c r="N147" s="122" t="s">
        <v>276</v>
      </c>
      <c r="O147" s="125" t="s">
        <v>1399</v>
      </c>
      <c r="P147" s="126">
        <v>3010382.16</v>
      </c>
      <c r="Q147" s="126">
        <v>0</v>
      </c>
      <c r="R147" s="126">
        <v>0</v>
      </c>
      <c r="S147" s="126">
        <f t="shared" si="6"/>
        <v>3010382.16</v>
      </c>
      <c r="T147" s="126">
        <f t="shared" si="7"/>
        <v>769.46608388927234</v>
      </c>
      <c r="U147" s="126">
        <v>3697.5499999999997</v>
      </c>
    </row>
    <row r="148" spans="1:21" s="67" customFormat="1" ht="61.5" x14ac:dyDescent="0.9">
      <c r="A148" s="67">
        <v>1</v>
      </c>
      <c r="B148" s="118">
        <f>SUBTOTAL(103,$A$16:A148)</f>
        <v>132</v>
      </c>
      <c r="C148" s="115" t="s">
        <v>1232</v>
      </c>
      <c r="D148" s="122">
        <v>1976</v>
      </c>
      <c r="E148" s="127"/>
      <c r="F148" s="127" t="s">
        <v>274</v>
      </c>
      <c r="G148" s="122">
        <v>5</v>
      </c>
      <c r="H148" s="122">
        <v>4</v>
      </c>
      <c r="I148" s="126">
        <v>3635.4</v>
      </c>
      <c r="J148" s="126">
        <v>3360.2</v>
      </c>
      <c r="K148" s="126">
        <v>2816.2</v>
      </c>
      <c r="L148" s="124">
        <v>167</v>
      </c>
      <c r="M148" s="122" t="s">
        <v>272</v>
      </c>
      <c r="N148" s="122" t="s">
        <v>276</v>
      </c>
      <c r="O148" s="125" t="s">
        <v>1433</v>
      </c>
      <c r="P148" s="126">
        <v>2901759.67</v>
      </c>
      <c r="Q148" s="126">
        <v>0</v>
      </c>
      <c r="R148" s="126">
        <v>0</v>
      </c>
      <c r="S148" s="126">
        <f t="shared" si="6"/>
        <v>2901759.67</v>
      </c>
      <c r="T148" s="126">
        <f t="shared" si="7"/>
        <v>798.19543103922535</v>
      </c>
      <c r="U148" s="126">
        <v>3929.6299999999997</v>
      </c>
    </row>
    <row r="149" spans="1:21" s="67" customFormat="1" ht="61.5" x14ac:dyDescent="0.9">
      <c r="A149" s="67">
        <v>1</v>
      </c>
      <c r="B149" s="118">
        <f>SUBTOTAL(103,$A$16:A149)</f>
        <v>133</v>
      </c>
      <c r="C149" s="115" t="s">
        <v>1233</v>
      </c>
      <c r="D149" s="122">
        <v>1985</v>
      </c>
      <c r="E149" s="127">
        <v>2014</v>
      </c>
      <c r="F149" s="127" t="s">
        <v>274</v>
      </c>
      <c r="G149" s="122">
        <v>9</v>
      </c>
      <c r="H149" s="122">
        <v>3</v>
      </c>
      <c r="I149" s="126">
        <v>7073.4</v>
      </c>
      <c r="J149" s="126">
        <v>6236.1</v>
      </c>
      <c r="K149" s="126">
        <v>5083.1000000000004</v>
      </c>
      <c r="L149" s="124">
        <v>235</v>
      </c>
      <c r="M149" s="122" t="s">
        <v>272</v>
      </c>
      <c r="N149" s="122" t="s">
        <v>276</v>
      </c>
      <c r="O149" s="125" t="s">
        <v>1433</v>
      </c>
      <c r="P149" s="126">
        <v>5068816.8</v>
      </c>
      <c r="Q149" s="126">
        <v>0</v>
      </c>
      <c r="R149" s="126">
        <v>0</v>
      </c>
      <c r="S149" s="126">
        <f t="shared" si="6"/>
        <v>5068816.8</v>
      </c>
      <c r="T149" s="126">
        <f t="shared" si="7"/>
        <v>716.60259564000341</v>
      </c>
      <c r="U149" s="126">
        <v>3602.64</v>
      </c>
    </row>
    <row r="150" spans="1:21" s="67" customFormat="1" ht="61.5" x14ac:dyDescent="0.9">
      <c r="A150" s="67">
        <v>1</v>
      </c>
      <c r="B150" s="118">
        <f>SUBTOTAL(103,$A$16:A150)</f>
        <v>134</v>
      </c>
      <c r="C150" s="115" t="s">
        <v>1234</v>
      </c>
      <c r="D150" s="122">
        <v>1934</v>
      </c>
      <c r="E150" s="127"/>
      <c r="F150" s="127" t="s">
        <v>340</v>
      </c>
      <c r="G150" s="122">
        <v>2</v>
      </c>
      <c r="H150" s="122">
        <v>1</v>
      </c>
      <c r="I150" s="126">
        <v>276.7</v>
      </c>
      <c r="J150" s="126">
        <v>249.4</v>
      </c>
      <c r="K150" s="126">
        <v>249.4</v>
      </c>
      <c r="L150" s="124">
        <v>16</v>
      </c>
      <c r="M150" s="122" t="s">
        <v>272</v>
      </c>
      <c r="N150" s="122" t="s">
        <v>273</v>
      </c>
      <c r="O150" s="125" t="s">
        <v>275</v>
      </c>
      <c r="P150" s="126">
        <v>1151567.52</v>
      </c>
      <c r="Q150" s="126">
        <v>0</v>
      </c>
      <c r="R150" s="126">
        <v>0</v>
      </c>
      <c r="S150" s="126">
        <f t="shared" si="6"/>
        <v>1151567.52</v>
      </c>
      <c r="T150" s="126">
        <f t="shared" si="7"/>
        <v>4161.7908203830866</v>
      </c>
      <c r="U150" s="126">
        <v>5609.5811348030356</v>
      </c>
    </row>
    <row r="151" spans="1:21" s="67" customFormat="1" ht="61.5" x14ac:dyDescent="0.9">
      <c r="A151" s="67">
        <v>1</v>
      </c>
      <c r="B151" s="118">
        <f>SUBTOTAL(103,$A$16:A151)</f>
        <v>135</v>
      </c>
      <c r="C151" s="115" t="s">
        <v>1235</v>
      </c>
      <c r="D151" s="122">
        <v>1966</v>
      </c>
      <c r="E151" s="127"/>
      <c r="F151" s="127" t="s">
        <v>274</v>
      </c>
      <c r="G151" s="122">
        <v>2</v>
      </c>
      <c r="H151" s="122">
        <v>2</v>
      </c>
      <c r="I151" s="126">
        <v>787.5</v>
      </c>
      <c r="J151" s="126">
        <v>727.8</v>
      </c>
      <c r="K151" s="126">
        <v>727.8</v>
      </c>
      <c r="L151" s="124">
        <v>35</v>
      </c>
      <c r="M151" s="122" t="s">
        <v>272</v>
      </c>
      <c r="N151" s="122" t="s">
        <v>273</v>
      </c>
      <c r="O151" s="125" t="s">
        <v>275</v>
      </c>
      <c r="P151" s="126">
        <v>3562559.92</v>
      </c>
      <c r="Q151" s="126">
        <v>0</v>
      </c>
      <c r="R151" s="126">
        <v>0</v>
      </c>
      <c r="S151" s="126">
        <f t="shared" si="6"/>
        <v>3562559.92</v>
      </c>
      <c r="T151" s="126">
        <f t="shared" si="7"/>
        <v>4523.8856126984128</v>
      </c>
      <c r="U151" s="126">
        <v>5793.0581841269832</v>
      </c>
    </row>
    <row r="152" spans="1:21" s="67" customFormat="1" ht="61.5" x14ac:dyDescent="0.9">
      <c r="A152" s="67">
        <v>1</v>
      </c>
      <c r="B152" s="118">
        <f>SUBTOTAL(103,$A$16:A152)</f>
        <v>136</v>
      </c>
      <c r="C152" s="115" t="s">
        <v>1381</v>
      </c>
      <c r="D152" s="122">
        <v>1977</v>
      </c>
      <c r="E152" s="127"/>
      <c r="F152" s="127" t="s">
        <v>328</v>
      </c>
      <c r="G152" s="122">
        <v>5</v>
      </c>
      <c r="H152" s="122">
        <v>8</v>
      </c>
      <c r="I152" s="126">
        <v>6715.9</v>
      </c>
      <c r="J152" s="126">
        <v>6150.8</v>
      </c>
      <c r="K152" s="126">
        <v>5734.8</v>
      </c>
      <c r="L152" s="124">
        <v>309</v>
      </c>
      <c r="M152" s="122" t="s">
        <v>272</v>
      </c>
      <c r="N152" s="122" t="s">
        <v>276</v>
      </c>
      <c r="O152" s="125" t="s">
        <v>1458</v>
      </c>
      <c r="P152" s="126">
        <v>6915057.8700000001</v>
      </c>
      <c r="Q152" s="126">
        <v>0</v>
      </c>
      <c r="R152" s="126">
        <v>0</v>
      </c>
      <c r="S152" s="126">
        <f t="shared" si="6"/>
        <v>6915057.8700000001</v>
      </c>
      <c r="T152" s="126">
        <f t="shared" si="7"/>
        <v>1029.654680683155</v>
      </c>
      <c r="U152" s="126">
        <v>1613.6115347161212</v>
      </c>
    </row>
    <row r="153" spans="1:21" s="67" customFormat="1" ht="61.5" x14ac:dyDescent="0.9">
      <c r="A153" s="67">
        <v>1</v>
      </c>
      <c r="B153" s="118">
        <f>SUBTOTAL(103,$A$16:A153)</f>
        <v>137</v>
      </c>
      <c r="C153" s="115" t="s">
        <v>483</v>
      </c>
      <c r="D153" s="122">
        <v>1970</v>
      </c>
      <c r="E153" s="127"/>
      <c r="F153" s="127" t="s">
        <v>274</v>
      </c>
      <c r="G153" s="122">
        <v>2</v>
      </c>
      <c r="H153" s="122">
        <v>2</v>
      </c>
      <c r="I153" s="126">
        <v>794.8</v>
      </c>
      <c r="J153" s="126">
        <v>737.8</v>
      </c>
      <c r="K153" s="126">
        <v>636.70000000000005</v>
      </c>
      <c r="L153" s="124">
        <v>42</v>
      </c>
      <c r="M153" s="122" t="s">
        <v>272</v>
      </c>
      <c r="N153" s="122" t="s">
        <v>273</v>
      </c>
      <c r="O153" s="125" t="s">
        <v>275</v>
      </c>
      <c r="P153" s="126">
        <v>3397687.97</v>
      </c>
      <c r="Q153" s="126">
        <v>0</v>
      </c>
      <c r="R153" s="126">
        <v>0</v>
      </c>
      <c r="S153" s="126">
        <f t="shared" si="6"/>
        <v>3397687.97</v>
      </c>
      <c r="T153" s="126">
        <f t="shared" si="7"/>
        <v>4274.8967916456977</v>
      </c>
      <c r="U153" s="126">
        <v>6104.9595244086568</v>
      </c>
    </row>
    <row r="154" spans="1:21" s="67" customFormat="1" ht="61.5" x14ac:dyDescent="0.9">
      <c r="A154" s="67">
        <v>1</v>
      </c>
      <c r="B154" s="118">
        <f>SUBTOTAL(103,$A$16:A154)</f>
        <v>138</v>
      </c>
      <c r="C154" s="115" t="s">
        <v>1382</v>
      </c>
      <c r="D154" s="122">
        <v>1978</v>
      </c>
      <c r="E154" s="127"/>
      <c r="F154" s="127" t="s">
        <v>340</v>
      </c>
      <c r="G154" s="122">
        <v>3</v>
      </c>
      <c r="H154" s="122">
        <v>2</v>
      </c>
      <c r="I154" s="126">
        <v>873.7</v>
      </c>
      <c r="J154" s="126">
        <v>873.7</v>
      </c>
      <c r="K154" s="126">
        <v>691.7</v>
      </c>
      <c r="L154" s="124">
        <v>31</v>
      </c>
      <c r="M154" s="122" t="s">
        <v>272</v>
      </c>
      <c r="N154" s="122" t="s">
        <v>273</v>
      </c>
      <c r="O154" s="125" t="s">
        <v>275</v>
      </c>
      <c r="P154" s="126">
        <v>1877171.23</v>
      </c>
      <c r="Q154" s="126">
        <v>0</v>
      </c>
      <c r="R154" s="126">
        <v>0</v>
      </c>
      <c r="S154" s="126">
        <f t="shared" si="6"/>
        <v>1877171.23</v>
      </c>
      <c r="T154" s="126">
        <f t="shared" si="7"/>
        <v>2148.5306512532907</v>
      </c>
      <c r="U154" s="126">
        <v>5118.415383999084</v>
      </c>
    </row>
    <row r="155" spans="1:21" s="67" customFormat="1" ht="61.5" x14ac:dyDescent="0.9">
      <c r="B155" s="115" t="s">
        <v>807</v>
      </c>
      <c r="C155" s="119"/>
      <c r="D155" s="122" t="s">
        <v>943</v>
      </c>
      <c r="E155" s="122" t="s">
        <v>943</v>
      </c>
      <c r="F155" s="122" t="s">
        <v>943</v>
      </c>
      <c r="G155" s="122" t="s">
        <v>943</v>
      </c>
      <c r="H155" s="122" t="s">
        <v>943</v>
      </c>
      <c r="I155" s="123">
        <f>SUM(I156:I192)</f>
        <v>109987.91999999998</v>
      </c>
      <c r="J155" s="123">
        <f t="shared" ref="J155:L155" si="8">SUM(J156:J192)</f>
        <v>93589.01999999999</v>
      </c>
      <c r="K155" s="123">
        <f t="shared" si="8"/>
        <v>86771.159999999989</v>
      </c>
      <c r="L155" s="124">
        <f t="shared" si="8"/>
        <v>4214</v>
      </c>
      <c r="M155" s="122" t="s">
        <v>943</v>
      </c>
      <c r="N155" s="122" t="s">
        <v>943</v>
      </c>
      <c r="O155" s="125" t="s">
        <v>943</v>
      </c>
      <c r="P155" s="123">
        <v>150030084.49000004</v>
      </c>
      <c r="Q155" s="123">
        <f t="shared" ref="Q155:R155" si="9">SUM(Q156:Q192)</f>
        <v>0</v>
      </c>
      <c r="R155" s="123">
        <f t="shared" si="9"/>
        <v>0</v>
      </c>
      <c r="S155" s="123">
        <f>SUM(S156:S192)</f>
        <v>150030084.49000001</v>
      </c>
      <c r="T155" s="155">
        <f t="shared" si="7"/>
        <v>1364.0596575514844</v>
      </c>
      <c r="U155" s="155">
        <f>MAX(U156:U192)</f>
        <v>6863.4105305305302</v>
      </c>
    </row>
    <row r="156" spans="1:21" s="67" customFormat="1" ht="61.5" x14ac:dyDescent="0.9">
      <c r="A156" s="67">
        <v>1</v>
      </c>
      <c r="B156" s="118">
        <f>SUBTOTAL(103,$A$16:A156)</f>
        <v>139</v>
      </c>
      <c r="C156" s="115" t="s">
        <v>405</v>
      </c>
      <c r="D156" s="122">
        <v>1974</v>
      </c>
      <c r="E156" s="127"/>
      <c r="F156" s="127" t="s">
        <v>321</v>
      </c>
      <c r="G156" s="122">
        <v>5</v>
      </c>
      <c r="H156" s="122">
        <v>6</v>
      </c>
      <c r="I156" s="126">
        <v>4988.6899999999996</v>
      </c>
      <c r="J156" s="126">
        <v>4519.59</v>
      </c>
      <c r="K156" s="126">
        <v>4250.8900000000003</v>
      </c>
      <c r="L156" s="124">
        <v>200</v>
      </c>
      <c r="M156" s="122" t="s">
        <v>272</v>
      </c>
      <c r="N156" s="122" t="s">
        <v>276</v>
      </c>
      <c r="O156" s="125" t="s">
        <v>331</v>
      </c>
      <c r="P156" s="126">
        <v>5258499.1300000008</v>
      </c>
      <c r="Q156" s="126">
        <v>0</v>
      </c>
      <c r="R156" s="126">
        <v>0</v>
      </c>
      <c r="S156" s="126">
        <f t="shared" ref="S156:S192" si="10">P156-Q156-R156</f>
        <v>5258499.1300000008</v>
      </c>
      <c r="T156" s="155">
        <f t="shared" si="7"/>
        <v>1054.0841643798274</v>
      </c>
      <c r="U156" s="155">
        <v>1517.812399648004</v>
      </c>
    </row>
    <row r="157" spans="1:21" s="67" customFormat="1" ht="61.5" x14ac:dyDescent="0.9">
      <c r="A157" s="67">
        <v>1</v>
      </c>
      <c r="B157" s="118">
        <f>SUBTOTAL(103,$A$16:A157)</f>
        <v>140</v>
      </c>
      <c r="C157" s="115" t="s">
        <v>406</v>
      </c>
      <c r="D157" s="122">
        <v>1975</v>
      </c>
      <c r="E157" s="127"/>
      <c r="F157" s="127" t="s">
        <v>321</v>
      </c>
      <c r="G157" s="122">
        <v>5</v>
      </c>
      <c r="H157" s="122">
        <v>8</v>
      </c>
      <c r="I157" s="126">
        <v>6689.89</v>
      </c>
      <c r="J157" s="126">
        <v>6122.82</v>
      </c>
      <c r="K157" s="126">
        <v>5460.0199999999995</v>
      </c>
      <c r="L157" s="124">
        <v>285</v>
      </c>
      <c r="M157" s="122" t="s">
        <v>272</v>
      </c>
      <c r="N157" s="122" t="s">
        <v>276</v>
      </c>
      <c r="O157" s="125" t="s">
        <v>1061</v>
      </c>
      <c r="P157" s="126">
        <v>5811666.96</v>
      </c>
      <c r="Q157" s="126">
        <v>0</v>
      </c>
      <c r="R157" s="126">
        <v>0</v>
      </c>
      <c r="S157" s="126">
        <f t="shared" si="10"/>
        <v>5811666.96</v>
      </c>
      <c r="T157" s="155">
        <f t="shared" si="7"/>
        <v>868.72384448772698</v>
      </c>
      <c r="U157" s="155">
        <v>3080.18</v>
      </c>
    </row>
    <row r="158" spans="1:21" s="67" customFormat="1" ht="61.5" x14ac:dyDescent="0.9">
      <c r="A158" s="67">
        <v>1</v>
      </c>
      <c r="B158" s="118">
        <f>SUBTOTAL(103,$A$16:A158)</f>
        <v>141</v>
      </c>
      <c r="C158" s="115" t="s">
        <v>407</v>
      </c>
      <c r="D158" s="122">
        <v>1954</v>
      </c>
      <c r="E158" s="127"/>
      <c r="F158" s="127" t="s">
        <v>274</v>
      </c>
      <c r="G158" s="122">
        <v>2</v>
      </c>
      <c r="H158" s="122">
        <v>3</v>
      </c>
      <c r="I158" s="126">
        <v>641.79999999999995</v>
      </c>
      <c r="J158" s="126">
        <v>552.4</v>
      </c>
      <c r="K158" s="126">
        <v>505.4</v>
      </c>
      <c r="L158" s="124">
        <v>34</v>
      </c>
      <c r="M158" s="122" t="s">
        <v>272</v>
      </c>
      <c r="N158" s="122" t="s">
        <v>276</v>
      </c>
      <c r="O158" s="125" t="s">
        <v>331</v>
      </c>
      <c r="P158" s="126">
        <v>2029035.9300000002</v>
      </c>
      <c r="Q158" s="126">
        <v>0</v>
      </c>
      <c r="R158" s="126">
        <v>0</v>
      </c>
      <c r="S158" s="126">
        <f t="shared" si="10"/>
        <v>2029035.9300000002</v>
      </c>
      <c r="T158" s="155">
        <f t="shared" si="7"/>
        <v>3161.4769866001875</v>
      </c>
      <c r="U158" s="155">
        <v>4563.539077594266</v>
      </c>
    </row>
    <row r="159" spans="1:21" s="67" customFormat="1" ht="61.5" x14ac:dyDescent="0.9">
      <c r="A159" s="67">
        <v>1</v>
      </c>
      <c r="B159" s="118">
        <f>SUBTOTAL(103,$A$16:A159)</f>
        <v>142</v>
      </c>
      <c r="C159" s="115" t="s">
        <v>408</v>
      </c>
      <c r="D159" s="122">
        <v>1975</v>
      </c>
      <c r="E159" s="127"/>
      <c r="F159" s="127" t="s">
        <v>274</v>
      </c>
      <c r="G159" s="122">
        <v>5</v>
      </c>
      <c r="H159" s="122">
        <v>4</v>
      </c>
      <c r="I159" s="126">
        <v>3325.2</v>
      </c>
      <c r="J159" s="126">
        <v>2700</v>
      </c>
      <c r="K159" s="126">
        <v>2574</v>
      </c>
      <c r="L159" s="124">
        <v>116</v>
      </c>
      <c r="M159" s="122" t="s">
        <v>272</v>
      </c>
      <c r="N159" s="122" t="s">
        <v>276</v>
      </c>
      <c r="O159" s="125" t="s">
        <v>332</v>
      </c>
      <c r="P159" s="126">
        <v>4349274.9800000004</v>
      </c>
      <c r="Q159" s="126">
        <v>0</v>
      </c>
      <c r="R159" s="126">
        <v>0</v>
      </c>
      <c r="S159" s="126">
        <f t="shared" si="10"/>
        <v>4349274.9800000004</v>
      </c>
      <c r="T159" s="155">
        <f t="shared" si="7"/>
        <v>1307.9739504390716</v>
      </c>
      <c r="U159" s="155">
        <v>1883.3973776013474</v>
      </c>
    </row>
    <row r="160" spans="1:21" s="67" customFormat="1" ht="61.5" x14ac:dyDescent="0.9">
      <c r="A160" s="67">
        <v>1</v>
      </c>
      <c r="B160" s="118">
        <f>SUBTOTAL(103,$A$16:A160)</f>
        <v>143</v>
      </c>
      <c r="C160" s="115" t="s">
        <v>409</v>
      </c>
      <c r="D160" s="122">
        <v>1966</v>
      </c>
      <c r="E160" s="127"/>
      <c r="F160" s="127" t="s">
        <v>274</v>
      </c>
      <c r="G160" s="122">
        <v>4</v>
      </c>
      <c r="H160" s="122">
        <v>4</v>
      </c>
      <c r="I160" s="126">
        <v>2747.7</v>
      </c>
      <c r="J160" s="126">
        <v>2392.9</v>
      </c>
      <c r="K160" s="126">
        <v>2351.5</v>
      </c>
      <c r="L160" s="124">
        <v>113</v>
      </c>
      <c r="M160" s="122" t="s">
        <v>272</v>
      </c>
      <c r="N160" s="122" t="s">
        <v>276</v>
      </c>
      <c r="O160" s="125" t="s">
        <v>1061</v>
      </c>
      <c r="P160" s="126">
        <v>4523137.4800000004</v>
      </c>
      <c r="Q160" s="126">
        <v>0</v>
      </c>
      <c r="R160" s="126">
        <v>0</v>
      </c>
      <c r="S160" s="126">
        <f t="shared" si="10"/>
        <v>4523137.4800000004</v>
      </c>
      <c r="T160" s="155">
        <f t="shared" si="7"/>
        <v>1646.1540488408489</v>
      </c>
      <c r="U160" s="155">
        <v>2397.1337191105285</v>
      </c>
    </row>
    <row r="161" spans="1:21" s="67" customFormat="1" ht="61.5" x14ac:dyDescent="0.9">
      <c r="A161" s="67">
        <v>1</v>
      </c>
      <c r="B161" s="118">
        <f>SUBTOTAL(103,$A$16:A161)</f>
        <v>144</v>
      </c>
      <c r="C161" s="115" t="s">
        <v>410</v>
      </c>
      <c r="D161" s="122" t="s">
        <v>333</v>
      </c>
      <c r="E161" s="127"/>
      <c r="F161" s="127" t="s">
        <v>274</v>
      </c>
      <c r="G161" s="122">
        <v>9</v>
      </c>
      <c r="H161" s="122">
        <v>3</v>
      </c>
      <c r="I161" s="126">
        <v>5754.2</v>
      </c>
      <c r="J161" s="126">
        <v>5754.2</v>
      </c>
      <c r="K161" s="126">
        <v>5645.8</v>
      </c>
      <c r="L161" s="124">
        <v>251</v>
      </c>
      <c r="M161" s="122" t="s">
        <v>272</v>
      </c>
      <c r="N161" s="122" t="s">
        <v>276</v>
      </c>
      <c r="O161" s="125" t="s">
        <v>332</v>
      </c>
      <c r="P161" s="126">
        <v>6646708.3700000001</v>
      </c>
      <c r="Q161" s="126">
        <v>0</v>
      </c>
      <c r="R161" s="126">
        <v>0</v>
      </c>
      <c r="S161" s="126">
        <f t="shared" si="10"/>
        <v>6646708.3700000001</v>
      </c>
      <c r="T161" s="155">
        <f t="shared" si="7"/>
        <v>1155.1055524660248</v>
      </c>
      <c r="U161" s="155">
        <v>1172.1714573702686</v>
      </c>
    </row>
    <row r="162" spans="1:21" s="67" customFormat="1" ht="61.5" x14ac:dyDescent="0.9">
      <c r="A162" s="67">
        <v>1</v>
      </c>
      <c r="B162" s="118">
        <f>SUBTOTAL(103,$A$16:A162)</f>
        <v>145</v>
      </c>
      <c r="C162" s="115" t="s">
        <v>411</v>
      </c>
      <c r="D162" s="122">
        <v>1949</v>
      </c>
      <c r="E162" s="127"/>
      <c r="F162" s="127" t="s">
        <v>334</v>
      </c>
      <c r="G162" s="122">
        <v>2</v>
      </c>
      <c r="H162" s="122">
        <v>1</v>
      </c>
      <c r="I162" s="126">
        <v>499.5</v>
      </c>
      <c r="J162" s="126">
        <v>450.4</v>
      </c>
      <c r="K162" s="126">
        <v>450.4</v>
      </c>
      <c r="L162" s="124">
        <v>13</v>
      </c>
      <c r="M162" s="122" t="s">
        <v>272</v>
      </c>
      <c r="N162" s="122" t="s">
        <v>273</v>
      </c>
      <c r="O162" s="125" t="s">
        <v>275</v>
      </c>
      <c r="P162" s="126">
        <v>2340853.12</v>
      </c>
      <c r="Q162" s="126">
        <v>0</v>
      </c>
      <c r="R162" s="126">
        <v>0</v>
      </c>
      <c r="S162" s="126">
        <f t="shared" si="10"/>
        <v>2340853.12</v>
      </c>
      <c r="T162" s="155">
        <f t="shared" si="7"/>
        <v>4686.3926326326327</v>
      </c>
      <c r="U162" s="155">
        <v>6863.4105305305302</v>
      </c>
    </row>
    <row r="163" spans="1:21" s="67" customFormat="1" ht="61.5" x14ac:dyDescent="0.9">
      <c r="A163" s="67">
        <v>1</v>
      </c>
      <c r="B163" s="118">
        <f>SUBTOTAL(103,$A$16:A163)</f>
        <v>146</v>
      </c>
      <c r="C163" s="115" t="s">
        <v>412</v>
      </c>
      <c r="D163" s="122">
        <v>1992</v>
      </c>
      <c r="E163" s="127"/>
      <c r="F163" s="127" t="s">
        <v>274</v>
      </c>
      <c r="G163" s="122">
        <v>9</v>
      </c>
      <c r="H163" s="122">
        <v>3</v>
      </c>
      <c r="I163" s="126">
        <v>6502.8</v>
      </c>
      <c r="J163" s="126">
        <v>5918.2</v>
      </c>
      <c r="K163" s="126">
        <v>5402.9</v>
      </c>
      <c r="L163" s="124">
        <v>278</v>
      </c>
      <c r="M163" s="122" t="s">
        <v>272</v>
      </c>
      <c r="N163" s="122" t="s">
        <v>276</v>
      </c>
      <c r="O163" s="125" t="s">
        <v>1061</v>
      </c>
      <c r="P163" s="126">
        <v>6646708.3700000001</v>
      </c>
      <c r="Q163" s="126">
        <v>0</v>
      </c>
      <c r="R163" s="126">
        <v>0</v>
      </c>
      <c r="S163" s="126">
        <f t="shared" si="10"/>
        <v>6646708.3700000001</v>
      </c>
      <c r="T163" s="155">
        <f t="shared" si="7"/>
        <v>1022.1302162145537</v>
      </c>
      <c r="U163" s="155">
        <v>1037.2315002768039</v>
      </c>
    </row>
    <row r="164" spans="1:21" s="67" customFormat="1" ht="61.5" x14ac:dyDescent="0.9">
      <c r="A164" s="67">
        <v>1</v>
      </c>
      <c r="B164" s="118">
        <f>SUBTOTAL(103,$A$16:A164)</f>
        <v>147</v>
      </c>
      <c r="C164" s="115" t="s">
        <v>413</v>
      </c>
      <c r="D164" s="122">
        <v>1974</v>
      </c>
      <c r="E164" s="127"/>
      <c r="F164" s="127" t="s">
        <v>274</v>
      </c>
      <c r="G164" s="122">
        <v>5</v>
      </c>
      <c r="H164" s="122">
        <v>6</v>
      </c>
      <c r="I164" s="126">
        <v>5897.3</v>
      </c>
      <c r="J164" s="126">
        <v>4498.7</v>
      </c>
      <c r="K164" s="126">
        <v>4220.3</v>
      </c>
      <c r="L164" s="124">
        <v>209</v>
      </c>
      <c r="M164" s="122" t="s">
        <v>272</v>
      </c>
      <c r="N164" s="122" t="s">
        <v>276</v>
      </c>
      <c r="O164" s="125" t="s">
        <v>335</v>
      </c>
      <c r="P164" s="126">
        <v>7405015.5899999999</v>
      </c>
      <c r="Q164" s="126">
        <v>0</v>
      </c>
      <c r="R164" s="126">
        <v>0</v>
      </c>
      <c r="S164" s="126">
        <f t="shared" si="10"/>
        <v>7405015.5899999999</v>
      </c>
      <c r="T164" s="155">
        <f t="shared" si="7"/>
        <v>1255.6620131246502</v>
      </c>
      <c r="U164" s="155">
        <v>1808.0715920845132</v>
      </c>
    </row>
    <row r="165" spans="1:21" s="67" customFormat="1" ht="61.5" x14ac:dyDescent="0.9">
      <c r="A165" s="67">
        <v>1</v>
      </c>
      <c r="B165" s="118">
        <f>SUBTOTAL(103,$A$16:A165)</f>
        <v>148</v>
      </c>
      <c r="C165" s="115" t="s">
        <v>414</v>
      </c>
      <c r="D165" s="122">
        <v>1974</v>
      </c>
      <c r="E165" s="127"/>
      <c r="F165" s="127" t="s">
        <v>274</v>
      </c>
      <c r="G165" s="122">
        <v>5</v>
      </c>
      <c r="H165" s="122">
        <v>4</v>
      </c>
      <c r="I165" s="126">
        <v>3863.9</v>
      </c>
      <c r="J165" s="126">
        <v>2672.9</v>
      </c>
      <c r="K165" s="126">
        <v>2643.2000000000003</v>
      </c>
      <c r="L165" s="124">
        <v>116</v>
      </c>
      <c r="M165" s="122" t="s">
        <v>272</v>
      </c>
      <c r="N165" s="122" t="s">
        <v>276</v>
      </c>
      <c r="O165" s="125" t="s">
        <v>336</v>
      </c>
      <c r="P165" s="126">
        <v>5249124.9800000004</v>
      </c>
      <c r="Q165" s="126">
        <v>0</v>
      </c>
      <c r="R165" s="126">
        <v>0</v>
      </c>
      <c r="S165" s="126">
        <f t="shared" si="10"/>
        <v>5249124.9800000004</v>
      </c>
      <c r="T165" s="155">
        <f t="shared" si="7"/>
        <v>1358.5043557027875</v>
      </c>
      <c r="U165" s="155">
        <v>1956.1578715805272</v>
      </c>
    </row>
    <row r="166" spans="1:21" s="67" customFormat="1" ht="61.5" x14ac:dyDescent="0.9">
      <c r="A166" s="67">
        <v>1</v>
      </c>
      <c r="B166" s="118">
        <f>SUBTOTAL(103,$A$16:A166)</f>
        <v>149</v>
      </c>
      <c r="C166" s="115" t="s">
        <v>415</v>
      </c>
      <c r="D166" s="122">
        <v>1958</v>
      </c>
      <c r="E166" s="127"/>
      <c r="F166" s="127" t="s">
        <v>274</v>
      </c>
      <c r="G166" s="122">
        <v>2</v>
      </c>
      <c r="H166" s="122">
        <v>2</v>
      </c>
      <c r="I166" s="126">
        <v>592.70000000000005</v>
      </c>
      <c r="J166" s="126">
        <v>548</v>
      </c>
      <c r="K166" s="126">
        <v>517.1</v>
      </c>
      <c r="L166" s="124">
        <v>26</v>
      </c>
      <c r="M166" s="122" t="s">
        <v>272</v>
      </c>
      <c r="N166" s="122" t="s">
        <v>273</v>
      </c>
      <c r="O166" s="125" t="s">
        <v>275</v>
      </c>
      <c r="P166" s="126">
        <v>2212131.2399999998</v>
      </c>
      <c r="Q166" s="126">
        <v>0</v>
      </c>
      <c r="R166" s="126">
        <v>0</v>
      </c>
      <c r="S166" s="126">
        <f t="shared" si="10"/>
        <v>2212131.2399999998</v>
      </c>
      <c r="T166" s="155">
        <f t="shared" si="7"/>
        <v>3732.294989033237</v>
      </c>
      <c r="U166" s="155">
        <v>5374.2619200269946</v>
      </c>
    </row>
    <row r="167" spans="1:21" s="67" customFormat="1" ht="61.5" x14ac:dyDescent="0.9">
      <c r="A167" s="67">
        <v>1</v>
      </c>
      <c r="B167" s="118">
        <f>SUBTOTAL(103,$A$16:A167)</f>
        <v>150</v>
      </c>
      <c r="C167" s="115" t="s">
        <v>416</v>
      </c>
      <c r="D167" s="122">
        <v>1961</v>
      </c>
      <c r="E167" s="127"/>
      <c r="F167" s="127" t="s">
        <v>274</v>
      </c>
      <c r="G167" s="122">
        <v>2</v>
      </c>
      <c r="H167" s="122">
        <v>2</v>
      </c>
      <c r="I167" s="126">
        <v>679.5</v>
      </c>
      <c r="J167" s="126">
        <v>630.79999999999995</v>
      </c>
      <c r="K167" s="126">
        <v>546.79999999999995</v>
      </c>
      <c r="L167" s="124">
        <v>41</v>
      </c>
      <c r="M167" s="122" t="s">
        <v>272</v>
      </c>
      <c r="N167" s="122" t="s">
        <v>276</v>
      </c>
      <c r="O167" s="125" t="s">
        <v>335</v>
      </c>
      <c r="P167" s="126">
        <v>2918296.86</v>
      </c>
      <c r="Q167" s="126">
        <v>0</v>
      </c>
      <c r="R167" s="126">
        <v>0</v>
      </c>
      <c r="S167" s="126">
        <f t="shared" si="10"/>
        <v>2918296.86</v>
      </c>
      <c r="T167" s="155">
        <f t="shared" si="7"/>
        <v>4294.7709492273725</v>
      </c>
      <c r="U167" s="155">
        <v>5760.3688005886679</v>
      </c>
    </row>
    <row r="168" spans="1:21" s="67" customFormat="1" ht="61.5" x14ac:dyDescent="0.9">
      <c r="A168" s="67">
        <v>1</v>
      </c>
      <c r="B168" s="118">
        <f>SUBTOTAL(103,$A$16:A168)</f>
        <v>151</v>
      </c>
      <c r="C168" s="115" t="s">
        <v>417</v>
      </c>
      <c r="D168" s="122">
        <v>1973</v>
      </c>
      <c r="E168" s="127"/>
      <c r="F168" s="127" t="s">
        <v>274</v>
      </c>
      <c r="G168" s="122">
        <v>5</v>
      </c>
      <c r="H168" s="122">
        <v>2</v>
      </c>
      <c r="I168" s="126">
        <v>4577.26</v>
      </c>
      <c r="J168" s="126">
        <v>2783.1</v>
      </c>
      <c r="K168" s="126">
        <v>1846.94</v>
      </c>
      <c r="L168" s="124">
        <v>190</v>
      </c>
      <c r="M168" s="122" t="s">
        <v>272</v>
      </c>
      <c r="N168" s="122" t="s">
        <v>276</v>
      </c>
      <c r="O168" s="125" t="s">
        <v>337</v>
      </c>
      <c r="P168" s="126">
        <v>14808185</v>
      </c>
      <c r="Q168" s="126">
        <v>0</v>
      </c>
      <c r="R168" s="126">
        <v>0</v>
      </c>
      <c r="S168" s="126">
        <f t="shared" si="10"/>
        <v>14808185</v>
      </c>
      <c r="T168" s="155">
        <f t="shared" si="7"/>
        <v>3235.1636131659552</v>
      </c>
      <c r="U168" s="155">
        <v>3235.1636131659552</v>
      </c>
    </row>
    <row r="169" spans="1:21" s="67" customFormat="1" ht="61.5" x14ac:dyDescent="0.9">
      <c r="A169" s="67">
        <v>1</v>
      </c>
      <c r="B169" s="118">
        <f>SUBTOTAL(103,$A$16:A169)</f>
        <v>152</v>
      </c>
      <c r="C169" s="115" t="s">
        <v>203</v>
      </c>
      <c r="D169" s="122">
        <v>1986</v>
      </c>
      <c r="E169" s="127"/>
      <c r="F169" s="127" t="s">
        <v>321</v>
      </c>
      <c r="G169" s="122">
        <v>5</v>
      </c>
      <c r="H169" s="122">
        <v>6</v>
      </c>
      <c r="I169" s="126">
        <v>5260.7000000000007</v>
      </c>
      <c r="J169" s="126">
        <v>4728.1000000000004</v>
      </c>
      <c r="K169" s="126">
        <v>4531.4000000000005</v>
      </c>
      <c r="L169" s="124">
        <v>196</v>
      </c>
      <c r="M169" s="122" t="s">
        <v>272</v>
      </c>
      <c r="N169" s="122" t="s">
        <v>276</v>
      </c>
      <c r="O169" s="125" t="s">
        <v>336</v>
      </c>
      <c r="P169" s="126">
        <v>6233335.9100000001</v>
      </c>
      <c r="Q169" s="126">
        <v>0</v>
      </c>
      <c r="R169" s="126">
        <v>0</v>
      </c>
      <c r="S169" s="126">
        <f t="shared" si="10"/>
        <v>6233335.9100000001</v>
      </c>
      <c r="T169" s="155">
        <f t="shared" si="7"/>
        <v>1184.8871652061512</v>
      </c>
      <c r="U169" s="155">
        <v>1706.1604159142316</v>
      </c>
    </row>
    <row r="170" spans="1:21" s="67" customFormat="1" ht="61.5" x14ac:dyDescent="0.9">
      <c r="A170" s="67">
        <v>1</v>
      </c>
      <c r="B170" s="118">
        <f>SUBTOTAL(103,$A$16:A170)</f>
        <v>153</v>
      </c>
      <c r="C170" s="115" t="s">
        <v>418</v>
      </c>
      <c r="D170" s="122">
        <v>1951</v>
      </c>
      <c r="E170" s="127"/>
      <c r="F170" s="127" t="s">
        <v>334</v>
      </c>
      <c r="G170" s="122">
        <v>2</v>
      </c>
      <c r="H170" s="122">
        <v>1</v>
      </c>
      <c r="I170" s="126">
        <v>380.35</v>
      </c>
      <c r="J170" s="126">
        <v>339.86</v>
      </c>
      <c r="K170" s="126">
        <v>339.86</v>
      </c>
      <c r="L170" s="124">
        <v>17</v>
      </c>
      <c r="M170" s="122" t="s">
        <v>272</v>
      </c>
      <c r="N170" s="122" t="s">
        <v>276</v>
      </c>
      <c r="O170" s="125" t="s">
        <v>331</v>
      </c>
      <c r="P170" s="126">
        <v>1570050.77</v>
      </c>
      <c r="Q170" s="126">
        <v>0</v>
      </c>
      <c r="R170" s="126">
        <v>0</v>
      </c>
      <c r="S170" s="126">
        <f t="shared" si="10"/>
        <v>1570050.77</v>
      </c>
      <c r="T170" s="155">
        <f t="shared" si="7"/>
        <v>4127.9105297752067</v>
      </c>
      <c r="U170" s="155">
        <v>5943.9225713158921</v>
      </c>
    </row>
    <row r="171" spans="1:21" s="67" customFormat="1" ht="61.5" x14ac:dyDescent="0.9">
      <c r="A171" s="67">
        <v>1</v>
      </c>
      <c r="B171" s="118">
        <f>SUBTOTAL(103,$A$16:A171)</f>
        <v>154</v>
      </c>
      <c r="C171" s="115" t="s">
        <v>419</v>
      </c>
      <c r="D171" s="122">
        <v>1972</v>
      </c>
      <c r="E171" s="127"/>
      <c r="F171" s="127" t="s">
        <v>274</v>
      </c>
      <c r="G171" s="122">
        <v>5</v>
      </c>
      <c r="H171" s="122">
        <v>8</v>
      </c>
      <c r="I171" s="126">
        <v>6552.3399999999992</v>
      </c>
      <c r="J171" s="126">
        <v>6023.94</v>
      </c>
      <c r="K171" s="126">
        <v>5588.4599999999991</v>
      </c>
      <c r="L171" s="124">
        <v>285</v>
      </c>
      <c r="M171" s="122" t="s">
        <v>272</v>
      </c>
      <c r="N171" s="122" t="s">
        <v>276</v>
      </c>
      <c r="O171" s="125" t="s">
        <v>338</v>
      </c>
      <c r="P171" s="126">
        <v>9476545.2699999996</v>
      </c>
      <c r="Q171" s="126">
        <v>0</v>
      </c>
      <c r="R171" s="126">
        <v>0</v>
      </c>
      <c r="S171" s="126">
        <f t="shared" si="10"/>
        <v>9476545.2699999996</v>
      </c>
      <c r="T171" s="155">
        <f t="shared" si="7"/>
        <v>1446.2841168193349</v>
      </c>
      <c r="U171" s="155">
        <v>2082.5550169862981</v>
      </c>
    </row>
    <row r="172" spans="1:21" s="67" customFormat="1" ht="61.5" x14ac:dyDescent="0.9">
      <c r="A172" s="67">
        <v>1</v>
      </c>
      <c r="B172" s="118">
        <f>SUBTOTAL(103,$A$16:A172)</f>
        <v>155</v>
      </c>
      <c r="C172" s="115" t="s">
        <v>1236</v>
      </c>
      <c r="D172" s="122">
        <v>1958</v>
      </c>
      <c r="E172" s="127"/>
      <c r="F172" s="127" t="s">
        <v>274</v>
      </c>
      <c r="G172" s="122">
        <v>2</v>
      </c>
      <c r="H172" s="122">
        <v>2</v>
      </c>
      <c r="I172" s="126">
        <v>731.63</v>
      </c>
      <c r="J172" s="126">
        <v>675.13</v>
      </c>
      <c r="K172" s="126">
        <v>675.13</v>
      </c>
      <c r="L172" s="124">
        <v>28</v>
      </c>
      <c r="M172" s="122" t="s">
        <v>272</v>
      </c>
      <c r="N172" s="122" t="s">
        <v>273</v>
      </c>
      <c r="O172" s="125" t="s">
        <v>275</v>
      </c>
      <c r="P172" s="126">
        <v>1343390.3599999999</v>
      </c>
      <c r="Q172" s="126">
        <v>0</v>
      </c>
      <c r="R172" s="126">
        <v>0</v>
      </c>
      <c r="S172" s="126">
        <f t="shared" si="10"/>
        <v>1343390.3599999999</v>
      </c>
      <c r="T172" s="155">
        <f t="shared" si="7"/>
        <v>1836.1608463294288</v>
      </c>
      <c r="U172" s="155">
        <v>3697.5499999999997</v>
      </c>
    </row>
    <row r="173" spans="1:21" s="67" customFormat="1" ht="61.5" x14ac:dyDescent="0.9">
      <c r="A173" s="67">
        <v>1</v>
      </c>
      <c r="B173" s="118">
        <f>SUBTOTAL(103,$A$16:A173)</f>
        <v>156</v>
      </c>
      <c r="C173" s="115" t="s">
        <v>1237</v>
      </c>
      <c r="D173" s="122">
        <v>1963</v>
      </c>
      <c r="E173" s="127"/>
      <c r="F173" s="127" t="s">
        <v>274</v>
      </c>
      <c r="G173" s="122">
        <v>3</v>
      </c>
      <c r="H173" s="122">
        <v>2</v>
      </c>
      <c r="I173" s="126">
        <v>720.17000000000007</v>
      </c>
      <c r="J173" s="126">
        <v>519.07000000000005</v>
      </c>
      <c r="K173" s="126">
        <v>460.94000000000005</v>
      </c>
      <c r="L173" s="124">
        <v>18</v>
      </c>
      <c r="M173" s="122" t="s">
        <v>272</v>
      </c>
      <c r="N173" s="122" t="s">
        <v>273</v>
      </c>
      <c r="O173" s="125" t="s">
        <v>275</v>
      </c>
      <c r="P173" s="126">
        <v>1446700.82</v>
      </c>
      <c r="Q173" s="126">
        <v>0</v>
      </c>
      <c r="R173" s="126">
        <v>0</v>
      </c>
      <c r="S173" s="126">
        <f t="shared" si="10"/>
        <v>1446700.82</v>
      </c>
      <c r="T173" s="155">
        <f t="shared" si="7"/>
        <v>2008.8323867975616</v>
      </c>
      <c r="U173" s="155">
        <v>3106.1395196967383</v>
      </c>
    </row>
    <row r="174" spans="1:21" s="67" customFormat="1" ht="61.5" x14ac:dyDescent="0.9">
      <c r="A174" s="67">
        <v>1</v>
      </c>
      <c r="B174" s="118">
        <f>SUBTOTAL(103,$A$16:A174)</f>
        <v>157</v>
      </c>
      <c r="C174" s="115" t="s">
        <v>1238</v>
      </c>
      <c r="D174" s="122">
        <v>1952</v>
      </c>
      <c r="E174" s="127"/>
      <c r="F174" s="127" t="s">
        <v>274</v>
      </c>
      <c r="G174" s="122">
        <v>3</v>
      </c>
      <c r="H174" s="122">
        <v>3</v>
      </c>
      <c r="I174" s="126">
        <v>1798.15</v>
      </c>
      <c r="J174" s="126">
        <v>1637.95</v>
      </c>
      <c r="K174" s="126">
        <v>1637.95</v>
      </c>
      <c r="L174" s="124">
        <v>58</v>
      </c>
      <c r="M174" s="122" t="s">
        <v>272</v>
      </c>
      <c r="N174" s="122" t="s">
        <v>276</v>
      </c>
      <c r="O174" s="125" t="s">
        <v>1061</v>
      </c>
      <c r="P174" s="126">
        <v>2357621.9400000004</v>
      </c>
      <c r="Q174" s="126">
        <v>0</v>
      </c>
      <c r="R174" s="126">
        <v>0</v>
      </c>
      <c r="S174" s="126">
        <f t="shared" si="10"/>
        <v>2357621.9400000004</v>
      </c>
      <c r="T174" s="155">
        <f t="shared" si="7"/>
        <v>1311.1375246781415</v>
      </c>
      <c r="U174" s="155">
        <v>4909.8057114256317</v>
      </c>
    </row>
    <row r="175" spans="1:21" s="67" customFormat="1" ht="61.5" x14ac:dyDescent="0.9">
      <c r="A175" s="67">
        <v>1</v>
      </c>
      <c r="B175" s="118">
        <f>SUBTOTAL(103,$A$16:A175)</f>
        <v>158</v>
      </c>
      <c r="C175" s="115" t="s">
        <v>1239</v>
      </c>
      <c r="D175" s="122">
        <v>1989</v>
      </c>
      <c r="E175" s="127"/>
      <c r="F175" s="127" t="s">
        <v>274</v>
      </c>
      <c r="G175" s="122">
        <v>9</v>
      </c>
      <c r="H175" s="122">
        <v>2</v>
      </c>
      <c r="I175" s="126">
        <v>4429.1000000000004</v>
      </c>
      <c r="J175" s="126">
        <v>3931.9</v>
      </c>
      <c r="K175" s="126">
        <v>3418.9</v>
      </c>
      <c r="L175" s="124">
        <v>175</v>
      </c>
      <c r="M175" s="122" t="s">
        <v>272</v>
      </c>
      <c r="N175" s="122" t="s">
        <v>276</v>
      </c>
      <c r="O175" s="125" t="s">
        <v>335</v>
      </c>
      <c r="P175" s="126">
        <v>4006501.16</v>
      </c>
      <c r="Q175" s="126">
        <v>0</v>
      </c>
      <c r="R175" s="126">
        <v>0</v>
      </c>
      <c r="S175" s="126">
        <f t="shared" si="10"/>
        <v>4006501.16</v>
      </c>
      <c r="T175" s="155">
        <f t="shared" si="7"/>
        <v>904.58584362511567</v>
      </c>
      <c r="U175" s="155">
        <v>1015.2414711792462</v>
      </c>
    </row>
    <row r="176" spans="1:21" s="67" customFormat="1" ht="61.5" x14ac:dyDescent="0.9">
      <c r="A176" s="67">
        <v>1</v>
      </c>
      <c r="B176" s="118">
        <f>SUBTOTAL(103,$A$16:A176)</f>
        <v>159</v>
      </c>
      <c r="C176" s="115" t="s">
        <v>1240</v>
      </c>
      <c r="D176" s="122">
        <v>1964</v>
      </c>
      <c r="E176" s="127"/>
      <c r="F176" s="127" t="s">
        <v>274</v>
      </c>
      <c r="G176" s="122">
        <v>2</v>
      </c>
      <c r="H176" s="122">
        <v>2</v>
      </c>
      <c r="I176" s="126">
        <v>634.5</v>
      </c>
      <c r="J176" s="126">
        <v>384.9</v>
      </c>
      <c r="K176" s="126">
        <v>253.53999999999996</v>
      </c>
      <c r="L176" s="124">
        <v>27</v>
      </c>
      <c r="M176" s="122" t="s">
        <v>272</v>
      </c>
      <c r="N176" s="122" t="s">
        <v>276</v>
      </c>
      <c r="O176" s="125" t="s">
        <v>336</v>
      </c>
      <c r="P176" s="126">
        <v>243797.76000000001</v>
      </c>
      <c r="Q176" s="126">
        <v>0</v>
      </c>
      <c r="R176" s="126">
        <v>0</v>
      </c>
      <c r="S176" s="126">
        <f t="shared" si="10"/>
        <v>243797.76000000001</v>
      </c>
      <c r="T176" s="155">
        <f t="shared" si="7"/>
        <v>384.23602836879434</v>
      </c>
      <c r="U176" s="155">
        <v>2186.3102789598111</v>
      </c>
    </row>
    <row r="177" spans="1:21" s="67" customFormat="1" ht="61.5" x14ac:dyDescent="0.9">
      <c r="A177" s="67">
        <v>1</v>
      </c>
      <c r="B177" s="118">
        <f>SUBTOTAL(103,$A$16:A177)</f>
        <v>160</v>
      </c>
      <c r="C177" s="115" t="s">
        <v>1241</v>
      </c>
      <c r="D177" s="122">
        <v>1971</v>
      </c>
      <c r="E177" s="127"/>
      <c r="F177" s="127" t="s">
        <v>274</v>
      </c>
      <c r="G177" s="122">
        <v>5</v>
      </c>
      <c r="H177" s="122">
        <v>6</v>
      </c>
      <c r="I177" s="126">
        <v>5698.2</v>
      </c>
      <c r="J177" s="126">
        <v>4475.3999999999996</v>
      </c>
      <c r="K177" s="126">
        <v>4355.8399999999992</v>
      </c>
      <c r="L177" s="124">
        <v>172</v>
      </c>
      <c r="M177" s="122" t="s">
        <v>272</v>
      </c>
      <c r="N177" s="122" t="s">
        <v>276</v>
      </c>
      <c r="O177" s="125" t="s">
        <v>338</v>
      </c>
      <c r="P177" s="126">
        <v>3309888.6199999996</v>
      </c>
      <c r="Q177" s="126">
        <v>0</v>
      </c>
      <c r="R177" s="126">
        <v>0</v>
      </c>
      <c r="S177" s="126">
        <f t="shared" si="10"/>
        <v>3309888.6199999996</v>
      </c>
      <c r="T177" s="155">
        <f t="shared" si="7"/>
        <v>580.86564529149553</v>
      </c>
      <c r="U177" s="155">
        <v>1418.4320627566599</v>
      </c>
    </row>
    <row r="178" spans="1:21" s="67" customFormat="1" ht="61.5" x14ac:dyDescent="0.9">
      <c r="A178" s="67">
        <v>1</v>
      </c>
      <c r="B178" s="118">
        <f>SUBTOTAL(103,$A$16:A178)</f>
        <v>161</v>
      </c>
      <c r="C178" s="115" t="s">
        <v>1242</v>
      </c>
      <c r="D178" s="122">
        <v>1991</v>
      </c>
      <c r="E178" s="127"/>
      <c r="F178" s="127" t="s">
        <v>295</v>
      </c>
      <c r="G178" s="122">
        <v>9</v>
      </c>
      <c r="H178" s="122">
        <v>2</v>
      </c>
      <c r="I178" s="126">
        <v>4200.6000000000004</v>
      </c>
      <c r="J178" s="126">
        <v>3780.6</v>
      </c>
      <c r="K178" s="126">
        <v>3265.6</v>
      </c>
      <c r="L178" s="124">
        <v>172</v>
      </c>
      <c r="M178" s="122" t="s">
        <v>272</v>
      </c>
      <c r="N178" s="122" t="s">
        <v>276</v>
      </c>
      <c r="O178" s="125" t="s">
        <v>331</v>
      </c>
      <c r="P178" s="126">
        <v>4006501.15</v>
      </c>
      <c r="Q178" s="126">
        <v>0</v>
      </c>
      <c r="R178" s="126">
        <v>0</v>
      </c>
      <c r="S178" s="126">
        <f t="shared" si="10"/>
        <v>4006501.15</v>
      </c>
      <c r="T178" s="155">
        <f t="shared" si="7"/>
        <v>953.79258915393029</v>
      </c>
      <c r="U178" s="155">
        <v>1070.4675522544399</v>
      </c>
    </row>
    <row r="179" spans="1:21" s="67" customFormat="1" ht="61.5" x14ac:dyDescent="0.9">
      <c r="A179" s="67">
        <v>1</v>
      </c>
      <c r="B179" s="118">
        <f>SUBTOTAL(103,$A$16:A179)</f>
        <v>162</v>
      </c>
      <c r="C179" s="115" t="s">
        <v>1243</v>
      </c>
      <c r="D179" s="122">
        <v>1963</v>
      </c>
      <c r="E179" s="127"/>
      <c r="F179" s="127" t="s">
        <v>274</v>
      </c>
      <c r="G179" s="122">
        <v>4</v>
      </c>
      <c r="H179" s="122">
        <v>4</v>
      </c>
      <c r="I179" s="126">
        <v>2581.1</v>
      </c>
      <c r="J179" s="126">
        <v>2477.4</v>
      </c>
      <c r="K179" s="126">
        <v>2303.4</v>
      </c>
      <c r="L179" s="124">
        <v>110</v>
      </c>
      <c r="M179" s="122" t="s">
        <v>272</v>
      </c>
      <c r="N179" s="122" t="s">
        <v>276</v>
      </c>
      <c r="O179" s="125" t="s">
        <v>1061</v>
      </c>
      <c r="P179" s="126">
        <v>3186819.12</v>
      </c>
      <c r="Q179" s="126">
        <v>0</v>
      </c>
      <c r="R179" s="126">
        <v>0</v>
      </c>
      <c r="S179" s="126">
        <f t="shared" si="10"/>
        <v>3186819.12</v>
      </c>
      <c r="T179" s="155">
        <f t="shared" si="7"/>
        <v>1234.6747975669289</v>
      </c>
      <c r="U179" s="155">
        <v>2753.19</v>
      </c>
    </row>
    <row r="180" spans="1:21" s="67" customFormat="1" ht="61.5" x14ac:dyDescent="0.9">
      <c r="A180" s="67">
        <v>1</v>
      </c>
      <c r="B180" s="118">
        <f>SUBTOTAL(103,$A$16:A180)</f>
        <v>163</v>
      </c>
      <c r="C180" s="115" t="s">
        <v>1244</v>
      </c>
      <c r="D180" s="122">
        <v>1959</v>
      </c>
      <c r="E180" s="127"/>
      <c r="F180" s="127" t="s">
        <v>274</v>
      </c>
      <c r="G180" s="122">
        <v>2</v>
      </c>
      <c r="H180" s="122">
        <v>2</v>
      </c>
      <c r="I180" s="126">
        <v>598.02</v>
      </c>
      <c r="J180" s="126">
        <v>552.82000000000005</v>
      </c>
      <c r="K180" s="126">
        <v>452.65</v>
      </c>
      <c r="L180" s="124">
        <v>31</v>
      </c>
      <c r="M180" s="122" t="s">
        <v>272</v>
      </c>
      <c r="N180" s="122" t="s">
        <v>276</v>
      </c>
      <c r="O180" s="125" t="s">
        <v>338</v>
      </c>
      <c r="P180" s="126">
        <v>1122823.58</v>
      </c>
      <c r="Q180" s="126">
        <v>0</v>
      </c>
      <c r="R180" s="126">
        <v>0</v>
      </c>
      <c r="S180" s="126">
        <f t="shared" si="10"/>
        <v>1122823.58</v>
      </c>
      <c r="T180" s="155">
        <f t="shared" si="7"/>
        <v>1877.5686097454936</v>
      </c>
      <c r="U180" s="155">
        <v>3697.5499999999997</v>
      </c>
    </row>
    <row r="181" spans="1:21" s="67" customFormat="1" ht="61.5" x14ac:dyDescent="0.9">
      <c r="A181" s="67">
        <v>1</v>
      </c>
      <c r="B181" s="118">
        <f>SUBTOTAL(103,$A$16:A181)</f>
        <v>164</v>
      </c>
      <c r="C181" s="115" t="s">
        <v>1245</v>
      </c>
      <c r="D181" s="122">
        <v>1959</v>
      </c>
      <c r="E181" s="127"/>
      <c r="F181" s="127" t="s">
        <v>274</v>
      </c>
      <c r="G181" s="122">
        <v>4</v>
      </c>
      <c r="H181" s="122">
        <v>2</v>
      </c>
      <c r="I181" s="126">
        <v>1378.3</v>
      </c>
      <c r="J181" s="126">
        <v>1280.9000000000001</v>
      </c>
      <c r="K181" s="126">
        <v>1171.7</v>
      </c>
      <c r="L181" s="124">
        <v>83</v>
      </c>
      <c r="M181" s="122" t="s">
        <v>272</v>
      </c>
      <c r="N181" s="122" t="s">
        <v>276</v>
      </c>
      <c r="O181" s="125" t="s">
        <v>338</v>
      </c>
      <c r="P181" s="126">
        <v>464475.87</v>
      </c>
      <c r="Q181" s="126">
        <v>0</v>
      </c>
      <c r="R181" s="126">
        <v>0</v>
      </c>
      <c r="S181" s="126">
        <f t="shared" si="10"/>
        <v>464475.87</v>
      </c>
      <c r="T181" s="155">
        <f t="shared" si="7"/>
        <v>336.99185228179641</v>
      </c>
      <c r="U181" s="155">
        <v>673.78</v>
      </c>
    </row>
    <row r="182" spans="1:21" s="67" customFormat="1" ht="61.5" x14ac:dyDescent="0.9">
      <c r="A182" s="67">
        <v>1</v>
      </c>
      <c r="B182" s="118">
        <f>SUBTOTAL(103,$A$16:A182)</f>
        <v>165</v>
      </c>
      <c r="C182" s="115" t="s">
        <v>1246</v>
      </c>
      <c r="D182" s="122">
        <v>1963</v>
      </c>
      <c r="E182" s="127"/>
      <c r="F182" s="127" t="s">
        <v>274</v>
      </c>
      <c r="G182" s="122">
        <v>2</v>
      </c>
      <c r="H182" s="122">
        <v>2</v>
      </c>
      <c r="I182" s="126">
        <v>672.43</v>
      </c>
      <c r="J182" s="126">
        <v>623.04</v>
      </c>
      <c r="K182" s="126">
        <v>623.04</v>
      </c>
      <c r="L182" s="124">
        <v>42</v>
      </c>
      <c r="M182" s="122" t="s">
        <v>272</v>
      </c>
      <c r="N182" s="122" t="s">
        <v>276</v>
      </c>
      <c r="O182" s="125" t="s">
        <v>336</v>
      </c>
      <c r="P182" s="126">
        <v>198184.86</v>
      </c>
      <c r="Q182" s="126">
        <v>0</v>
      </c>
      <c r="R182" s="126">
        <v>0</v>
      </c>
      <c r="S182" s="126">
        <f t="shared" si="10"/>
        <v>198184.86</v>
      </c>
      <c r="T182" s="155">
        <f t="shared" si="7"/>
        <v>294.72935472837321</v>
      </c>
      <c r="U182" s="155">
        <v>673.78</v>
      </c>
    </row>
    <row r="183" spans="1:21" s="67" customFormat="1" ht="61.5" x14ac:dyDescent="0.9">
      <c r="A183" s="67">
        <v>1</v>
      </c>
      <c r="B183" s="118">
        <f>SUBTOTAL(103,$A$16:A183)</f>
        <v>166</v>
      </c>
      <c r="C183" s="115" t="s">
        <v>1247</v>
      </c>
      <c r="D183" s="122">
        <v>1989</v>
      </c>
      <c r="E183" s="127"/>
      <c r="F183" s="127" t="s">
        <v>274</v>
      </c>
      <c r="G183" s="122">
        <v>9</v>
      </c>
      <c r="H183" s="122">
        <v>1</v>
      </c>
      <c r="I183" s="126">
        <v>4090.1</v>
      </c>
      <c r="J183" s="126">
        <v>3277.11</v>
      </c>
      <c r="K183" s="126">
        <v>3277.11</v>
      </c>
      <c r="L183" s="124">
        <v>159</v>
      </c>
      <c r="M183" s="122" t="s">
        <v>272</v>
      </c>
      <c r="N183" s="122" t="s">
        <v>276</v>
      </c>
      <c r="O183" s="125" t="s">
        <v>1444</v>
      </c>
      <c r="P183" s="126">
        <v>2028570.37</v>
      </c>
      <c r="Q183" s="126">
        <v>0</v>
      </c>
      <c r="R183" s="126">
        <v>0</v>
      </c>
      <c r="S183" s="126">
        <f t="shared" si="10"/>
        <v>2028570.37</v>
      </c>
      <c r="T183" s="155">
        <f t="shared" si="7"/>
        <v>495.97084912349334</v>
      </c>
      <c r="U183" s="155">
        <v>549.69389501479179</v>
      </c>
    </row>
    <row r="184" spans="1:21" s="67" customFormat="1" ht="61.5" x14ac:dyDescent="0.9">
      <c r="A184" s="67">
        <v>1</v>
      </c>
      <c r="B184" s="118">
        <f>SUBTOTAL(103,$A$16:A184)</f>
        <v>167</v>
      </c>
      <c r="C184" s="115" t="s">
        <v>1248</v>
      </c>
      <c r="D184" s="122">
        <v>1992</v>
      </c>
      <c r="E184" s="127"/>
      <c r="F184" s="127" t="s">
        <v>274</v>
      </c>
      <c r="G184" s="122">
        <v>9</v>
      </c>
      <c r="H184" s="122">
        <v>1</v>
      </c>
      <c r="I184" s="126">
        <v>3107.8</v>
      </c>
      <c r="J184" s="126">
        <v>2755.2</v>
      </c>
      <c r="K184" s="126">
        <v>2755.2</v>
      </c>
      <c r="L184" s="124">
        <v>117</v>
      </c>
      <c r="M184" s="122" t="s">
        <v>272</v>
      </c>
      <c r="N184" s="122" t="s">
        <v>276</v>
      </c>
      <c r="O184" s="125" t="s">
        <v>1445</v>
      </c>
      <c r="P184" s="126">
        <v>2028570.37</v>
      </c>
      <c r="Q184" s="126">
        <v>0</v>
      </c>
      <c r="R184" s="126">
        <v>0</v>
      </c>
      <c r="S184" s="126">
        <f t="shared" si="10"/>
        <v>2028570.37</v>
      </c>
      <c r="T184" s="155">
        <f t="shared" si="7"/>
        <v>652.73517279104192</v>
      </c>
      <c r="U184" s="155">
        <v>723.43876697342171</v>
      </c>
    </row>
    <row r="185" spans="1:21" s="67" customFormat="1" ht="61.5" x14ac:dyDescent="0.9">
      <c r="A185" s="67">
        <v>1</v>
      </c>
      <c r="B185" s="118">
        <f>SUBTOTAL(103,$A$16:A185)</f>
        <v>168</v>
      </c>
      <c r="C185" s="115" t="s">
        <v>1249</v>
      </c>
      <c r="D185" s="122">
        <v>1992</v>
      </c>
      <c r="E185" s="127"/>
      <c r="F185" s="127" t="s">
        <v>321</v>
      </c>
      <c r="G185" s="122">
        <v>9</v>
      </c>
      <c r="H185" s="122">
        <v>4</v>
      </c>
      <c r="I185" s="126">
        <v>8440.4</v>
      </c>
      <c r="J185" s="126">
        <v>7673.5</v>
      </c>
      <c r="K185" s="126">
        <v>7237.9</v>
      </c>
      <c r="L185" s="124">
        <v>308</v>
      </c>
      <c r="M185" s="122" t="s">
        <v>272</v>
      </c>
      <c r="N185" s="122" t="s">
        <v>276</v>
      </c>
      <c r="O185" s="125" t="s">
        <v>1446</v>
      </c>
      <c r="P185" s="126">
        <v>8774604.5999999996</v>
      </c>
      <c r="Q185" s="126">
        <v>0</v>
      </c>
      <c r="R185" s="126">
        <v>0</v>
      </c>
      <c r="S185" s="126">
        <f t="shared" si="10"/>
        <v>8774604.5999999996</v>
      </c>
      <c r="T185" s="155">
        <f t="shared" si="7"/>
        <v>1039.5958248424245</v>
      </c>
      <c r="U185" s="155">
        <v>1065.4959480593336</v>
      </c>
    </row>
    <row r="186" spans="1:21" s="67" customFormat="1" ht="61.5" x14ac:dyDescent="0.9">
      <c r="A186" s="67">
        <v>1</v>
      </c>
      <c r="B186" s="118">
        <f>SUBTOTAL(103,$A$16:A186)</f>
        <v>169</v>
      </c>
      <c r="C186" s="115" t="s">
        <v>1375</v>
      </c>
      <c r="D186" s="122">
        <v>1968</v>
      </c>
      <c r="E186" s="127"/>
      <c r="F186" s="127" t="s">
        <v>274</v>
      </c>
      <c r="G186" s="122">
        <v>5</v>
      </c>
      <c r="H186" s="122">
        <v>4</v>
      </c>
      <c r="I186" s="126">
        <v>3571.09</v>
      </c>
      <c r="J186" s="126">
        <v>3241.39</v>
      </c>
      <c r="K186" s="126">
        <v>3219.99</v>
      </c>
      <c r="L186" s="124">
        <v>154</v>
      </c>
      <c r="M186" s="122" t="s">
        <v>272</v>
      </c>
      <c r="N186" s="122" t="s">
        <v>276</v>
      </c>
      <c r="O186" s="125" t="s">
        <v>337</v>
      </c>
      <c r="P186" s="126">
        <v>3013015.67</v>
      </c>
      <c r="Q186" s="126">
        <v>0</v>
      </c>
      <c r="R186" s="126">
        <v>0</v>
      </c>
      <c r="S186" s="126">
        <f t="shared" si="10"/>
        <v>3013015.67</v>
      </c>
      <c r="T186" s="155">
        <f t="shared" si="7"/>
        <v>843.72437267052908</v>
      </c>
      <c r="U186" s="155">
        <v>2753.19</v>
      </c>
    </row>
    <row r="187" spans="1:21" s="67" customFormat="1" ht="61.5" x14ac:dyDescent="0.9">
      <c r="A187" s="67">
        <v>1</v>
      </c>
      <c r="B187" s="118">
        <f>SUBTOTAL(103,$A$16:A187)</f>
        <v>170</v>
      </c>
      <c r="C187" s="115" t="s">
        <v>1388</v>
      </c>
      <c r="D187" s="122">
        <v>1958</v>
      </c>
      <c r="E187" s="127"/>
      <c r="F187" s="127" t="s">
        <v>274</v>
      </c>
      <c r="G187" s="122">
        <v>4</v>
      </c>
      <c r="H187" s="122">
        <v>4</v>
      </c>
      <c r="I187" s="126">
        <v>5856.4</v>
      </c>
      <c r="J187" s="126">
        <v>3235.1</v>
      </c>
      <c r="K187" s="126">
        <v>3073.4</v>
      </c>
      <c r="L187" s="124">
        <v>86</v>
      </c>
      <c r="M187" s="122" t="s">
        <v>272</v>
      </c>
      <c r="N187" s="122" t="s">
        <v>276</v>
      </c>
      <c r="O187" s="125" t="s">
        <v>1459</v>
      </c>
      <c r="P187" s="126">
        <v>13530548.279999999</v>
      </c>
      <c r="Q187" s="126">
        <v>0</v>
      </c>
      <c r="R187" s="126">
        <v>0</v>
      </c>
      <c r="S187" s="126">
        <f t="shared" si="10"/>
        <v>13530548.279999999</v>
      </c>
      <c r="T187" s="155">
        <f t="shared" si="7"/>
        <v>2310.3866334266786</v>
      </c>
      <c r="U187" s="155">
        <v>3249.3159893449902</v>
      </c>
    </row>
    <row r="188" spans="1:21" s="67" customFormat="1" ht="61.5" x14ac:dyDescent="0.9">
      <c r="A188" s="67">
        <v>1</v>
      </c>
      <c r="B188" s="118">
        <f>SUBTOTAL(103,$A$16:A188)</f>
        <v>171</v>
      </c>
      <c r="C188" s="115" t="s">
        <v>1389</v>
      </c>
      <c r="D188" s="122">
        <v>1968</v>
      </c>
      <c r="E188" s="127"/>
      <c r="F188" s="127" t="s">
        <v>274</v>
      </c>
      <c r="G188" s="122">
        <v>2</v>
      </c>
      <c r="H188" s="122">
        <v>2</v>
      </c>
      <c r="I188" s="126">
        <v>610.4</v>
      </c>
      <c r="J188" s="126">
        <v>567</v>
      </c>
      <c r="K188" s="126">
        <v>458.2</v>
      </c>
      <c r="L188" s="124">
        <v>29</v>
      </c>
      <c r="M188" s="122" t="s">
        <v>272</v>
      </c>
      <c r="N188" s="122" t="s">
        <v>276</v>
      </c>
      <c r="O188" s="125" t="s">
        <v>1459</v>
      </c>
      <c r="P188" s="126">
        <v>3278000</v>
      </c>
      <c r="Q188" s="126">
        <v>0</v>
      </c>
      <c r="R188" s="126">
        <v>0</v>
      </c>
      <c r="S188" s="126">
        <f t="shared" si="10"/>
        <v>3278000</v>
      </c>
      <c r="T188" s="155">
        <f t="shared" si="7"/>
        <v>5370.2490170380079</v>
      </c>
      <c r="U188" s="155">
        <v>6523.0280144167755</v>
      </c>
    </row>
    <row r="189" spans="1:21" s="67" customFormat="1" ht="61.5" x14ac:dyDescent="0.9">
      <c r="A189" s="67">
        <v>1</v>
      </c>
      <c r="B189" s="118">
        <f>SUBTOTAL(103,$A$16:A189)</f>
        <v>172</v>
      </c>
      <c r="C189" s="115" t="s">
        <v>1390</v>
      </c>
      <c r="D189" s="122">
        <v>1930</v>
      </c>
      <c r="E189" s="127"/>
      <c r="F189" s="127" t="s">
        <v>340</v>
      </c>
      <c r="G189" s="122">
        <v>2</v>
      </c>
      <c r="H189" s="122">
        <v>2</v>
      </c>
      <c r="I189" s="126">
        <v>496.2</v>
      </c>
      <c r="J189" s="126">
        <v>445.2</v>
      </c>
      <c r="K189" s="126">
        <v>55.7</v>
      </c>
      <c r="L189" s="124">
        <v>25</v>
      </c>
      <c r="M189" s="122" t="s">
        <v>272</v>
      </c>
      <c r="N189" s="122" t="s">
        <v>276</v>
      </c>
      <c r="O189" s="125" t="s">
        <v>1459</v>
      </c>
      <c r="P189" s="126">
        <v>1809500</v>
      </c>
      <c r="Q189" s="126">
        <v>0</v>
      </c>
      <c r="R189" s="126">
        <v>0</v>
      </c>
      <c r="S189" s="126">
        <f t="shared" si="10"/>
        <v>1809500</v>
      </c>
      <c r="T189" s="155">
        <f t="shared" si="7"/>
        <v>3646.7150342603791</v>
      </c>
      <c r="U189" s="155">
        <v>4474.5657597742838</v>
      </c>
    </row>
    <row r="190" spans="1:21" s="67" customFormat="1" ht="61.5" x14ac:dyDescent="0.9">
      <c r="A190" s="67">
        <v>1</v>
      </c>
      <c r="B190" s="118">
        <f>SUBTOTAL(103,$A$16:A190)</f>
        <v>173</v>
      </c>
      <c r="C190" s="115" t="s">
        <v>1391</v>
      </c>
      <c r="D190" s="122">
        <v>1958</v>
      </c>
      <c r="E190" s="127"/>
      <c r="F190" s="127" t="s">
        <v>274</v>
      </c>
      <c r="G190" s="122">
        <v>2</v>
      </c>
      <c r="H190" s="122">
        <v>2</v>
      </c>
      <c r="I190" s="126">
        <v>822.2</v>
      </c>
      <c r="J190" s="126">
        <v>822.2</v>
      </c>
      <c r="K190" s="126">
        <v>771.5</v>
      </c>
      <c r="L190" s="124">
        <v>22</v>
      </c>
      <c r="M190" s="122" t="s">
        <v>272</v>
      </c>
      <c r="N190" s="122" t="s">
        <v>276</v>
      </c>
      <c r="O190" s="125" t="s">
        <v>1459</v>
      </c>
      <c r="P190" s="126">
        <v>3657500</v>
      </c>
      <c r="Q190" s="126">
        <v>0</v>
      </c>
      <c r="R190" s="126">
        <v>0</v>
      </c>
      <c r="S190" s="126">
        <f t="shared" si="10"/>
        <v>3657500</v>
      </c>
      <c r="T190" s="155">
        <f t="shared" si="7"/>
        <v>4448.4310386767211</v>
      </c>
      <c r="U190" s="155">
        <v>5458.2815008513735</v>
      </c>
    </row>
    <row r="191" spans="1:21" s="67" customFormat="1" ht="61.5" x14ac:dyDescent="0.9">
      <c r="A191" s="67">
        <v>1</v>
      </c>
      <c r="B191" s="118">
        <f>SUBTOTAL(103,$A$16:A191)</f>
        <v>174</v>
      </c>
      <c r="C191" s="115" t="s">
        <v>1392</v>
      </c>
      <c r="D191" s="122">
        <v>1959</v>
      </c>
      <c r="E191" s="127"/>
      <c r="F191" s="127" t="s">
        <v>274</v>
      </c>
      <c r="G191" s="122">
        <v>2</v>
      </c>
      <c r="H191" s="122">
        <v>1</v>
      </c>
      <c r="I191" s="126">
        <v>310.3</v>
      </c>
      <c r="J191" s="126">
        <v>310.3</v>
      </c>
      <c r="K191" s="126">
        <v>270.3</v>
      </c>
      <c r="L191" s="124">
        <v>10</v>
      </c>
      <c r="M191" s="122" t="s">
        <v>272</v>
      </c>
      <c r="N191" s="122" t="s">
        <v>276</v>
      </c>
      <c r="O191" s="125" t="s">
        <v>1459</v>
      </c>
      <c r="P191" s="126">
        <v>1353000</v>
      </c>
      <c r="Q191" s="126">
        <v>0</v>
      </c>
      <c r="R191" s="126">
        <v>0</v>
      </c>
      <c r="S191" s="126">
        <f t="shared" si="10"/>
        <v>1353000</v>
      </c>
      <c r="T191" s="155">
        <f t="shared" si="7"/>
        <v>4360.2964872703833</v>
      </c>
      <c r="U191" s="155">
        <v>5350.1392845633254</v>
      </c>
    </row>
    <row r="192" spans="1:21" s="67" customFormat="1" ht="61.5" x14ac:dyDescent="0.9">
      <c r="A192" s="67">
        <v>1</v>
      </c>
      <c r="B192" s="118">
        <f>SUBTOTAL(103,$A$16:A192)</f>
        <v>175</v>
      </c>
      <c r="C192" s="115" t="s">
        <v>1393</v>
      </c>
      <c r="D192" s="122">
        <v>1959</v>
      </c>
      <c r="E192" s="127"/>
      <c r="F192" s="127" t="s">
        <v>274</v>
      </c>
      <c r="G192" s="122">
        <v>2</v>
      </c>
      <c r="H192" s="122">
        <v>1</v>
      </c>
      <c r="I192" s="126">
        <v>287</v>
      </c>
      <c r="J192" s="126">
        <v>287</v>
      </c>
      <c r="K192" s="126">
        <v>158.19999999999999</v>
      </c>
      <c r="L192" s="124">
        <v>18</v>
      </c>
      <c r="M192" s="122" t="s">
        <v>272</v>
      </c>
      <c r="N192" s="122" t="s">
        <v>273</v>
      </c>
      <c r="O192" s="125" t="s">
        <v>275</v>
      </c>
      <c r="P192" s="126">
        <v>1391500</v>
      </c>
      <c r="Q192" s="126">
        <v>0</v>
      </c>
      <c r="R192" s="126">
        <v>0</v>
      </c>
      <c r="S192" s="126">
        <f t="shared" si="10"/>
        <v>1391500</v>
      </c>
      <c r="T192" s="155">
        <f t="shared" si="7"/>
        <v>4848.4320557491292</v>
      </c>
      <c r="U192" s="155">
        <v>5949.0878397212546</v>
      </c>
    </row>
    <row r="193" spans="1:21" s="67" customFormat="1" ht="61.5" x14ac:dyDescent="0.9">
      <c r="B193" s="115" t="s">
        <v>810</v>
      </c>
      <c r="C193" s="119"/>
      <c r="D193" s="122" t="s">
        <v>943</v>
      </c>
      <c r="E193" s="122" t="s">
        <v>943</v>
      </c>
      <c r="F193" s="122" t="s">
        <v>943</v>
      </c>
      <c r="G193" s="122" t="s">
        <v>943</v>
      </c>
      <c r="H193" s="122" t="s">
        <v>943</v>
      </c>
      <c r="I193" s="123">
        <f>SUM(I194:I223)</f>
        <v>184811.18</v>
      </c>
      <c r="J193" s="123">
        <f t="shared" ref="J193:L193" si="11">SUM(J194:J223)</f>
        <v>154693.84000000003</v>
      </c>
      <c r="K193" s="123">
        <f t="shared" si="11"/>
        <v>144629.57999999999</v>
      </c>
      <c r="L193" s="124">
        <f t="shared" si="11"/>
        <v>5972</v>
      </c>
      <c r="M193" s="122" t="s">
        <v>943</v>
      </c>
      <c r="N193" s="122" t="s">
        <v>943</v>
      </c>
      <c r="O193" s="125" t="s">
        <v>943</v>
      </c>
      <c r="P193" s="123">
        <v>172847335.12</v>
      </c>
      <c r="Q193" s="123">
        <f t="shared" ref="Q193:S193" si="12">SUM(Q194:Q223)</f>
        <v>0</v>
      </c>
      <c r="R193" s="123">
        <f t="shared" si="12"/>
        <v>0</v>
      </c>
      <c r="S193" s="123">
        <f t="shared" si="12"/>
        <v>172847335.12</v>
      </c>
      <c r="T193" s="126">
        <f t="shared" si="7"/>
        <v>935.26449601155093</v>
      </c>
      <c r="U193" s="126">
        <f>MAX(U194:U217)</f>
        <v>9983.3621287596943</v>
      </c>
    </row>
    <row r="194" spans="1:21" s="67" customFormat="1" ht="61.5" x14ac:dyDescent="0.9">
      <c r="A194" s="67">
        <v>1</v>
      </c>
      <c r="B194" s="118">
        <f>SUBTOTAL(103,$A$16:A194)</f>
        <v>176</v>
      </c>
      <c r="C194" s="115" t="s">
        <v>811</v>
      </c>
      <c r="D194" s="122">
        <v>1960</v>
      </c>
      <c r="E194" s="127"/>
      <c r="F194" s="127" t="s">
        <v>274</v>
      </c>
      <c r="G194" s="122">
        <v>4</v>
      </c>
      <c r="H194" s="122">
        <v>3</v>
      </c>
      <c r="I194" s="126">
        <v>2116.5</v>
      </c>
      <c r="J194" s="126">
        <v>1931.2</v>
      </c>
      <c r="K194" s="126">
        <v>1680.5</v>
      </c>
      <c r="L194" s="124">
        <v>73</v>
      </c>
      <c r="M194" s="122" t="s">
        <v>272</v>
      </c>
      <c r="N194" s="122" t="s">
        <v>276</v>
      </c>
      <c r="O194" s="125" t="s">
        <v>852</v>
      </c>
      <c r="P194" s="126">
        <v>8097350.3199999994</v>
      </c>
      <c r="Q194" s="126">
        <v>0</v>
      </c>
      <c r="R194" s="126">
        <v>0</v>
      </c>
      <c r="S194" s="126">
        <f t="shared" ref="S194:S223" si="13">P194-Q194-R194</f>
        <v>8097350.3199999994</v>
      </c>
      <c r="T194" s="126">
        <f t="shared" si="7"/>
        <v>3825.8210819749584</v>
      </c>
      <c r="U194" s="126">
        <v>4994.1671060713443</v>
      </c>
    </row>
    <row r="195" spans="1:21" s="67" customFormat="1" ht="61.5" x14ac:dyDescent="0.9">
      <c r="A195" s="67">
        <v>1</v>
      </c>
      <c r="B195" s="118">
        <f>SUBTOTAL(103,$A$16:A195)</f>
        <v>177</v>
      </c>
      <c r="C195" s="115" t="s">
        <v>812</v>
      </c>
      <c r="D195" s="122">
        <v>1938</v>
      </c>
      <c r="E195" s="127"/>
      <c r="F195" s="127" t="s">
        <v>334</v>
      </c>
      <c r="G195" s="122">
        <v>2</v>
      </c>
      <c r="H195" s="122">
        <v>2</v>
      </c>
      <c r="I195" s="126">
        <v>692.4</v>
      </c>
      <c r="J195" s="126">
        <v>632.79999999999995</v>
      </c>
      <c r="K195" s="126">
        <v>632.79999999999995</v>
      </c>
      <c r="L195" s="124">
        <v>23</v>
      </c>
      <c r="M195" s="122" t="s">
        <v>272</v>
      </c>
      <c r="N195" s="122" t="s">
        <v>273</v>
      </c>
      <c r="O195" s="125" t="s">
        <v>275</v>
      </c>
      <c r="P195" s="126">
        <v>2390164.4000000004</v>
      </c>
      <c r="Q195" s="126">
        <v>0</v>
      </c>
      <c r="R195" s="126">
        <v>0</v>
      </c>
      <c r="S195" s="126">
        <f t="shared" si="13"/>
        <v>2390164.4000000004</v>
      </c>
      <c r="T195" s="126">
        <f t="shared" si="7"/>
        <v>3451.9994222992495</v>
      </c>
      <c r="U195" s="126">
        <v>4970.7837954939341</v>
      </c>
    </row>
    <row r="196" spans="1:21" s="67" customFormat="1" ht="61.5" x14ac:dyDescent="0.9">
      <c r="A196" s="67">
        <v>1</v>
      </c>
      <c r="B196" s="118">
        <f>SUBTOTAL(103,$A$16:A196)</f>
        <v>178</v>
      </c>
      <c r="C196" s="115" t="s">
        <v>813</v>
      </c>
      <c r="D196" s="122">
        <v>1961</v>
      </c>
      <c r="E196" s="127"/>
      <c r="F196" s="127" t="s">
        <v>274</v>
      </c>
      <c r="G196" s="122">
        <v>2</v>
      </c>
      <c r="H196" s="122">
        <v>1</v>
      </c>
      <c r="I196" s="126">
        <v>296.39999999999998</v>
      </c>
      <c r="J196" s="126">
        <v>275.5</v>
      </c>
      <c r="K196" s="126">
        <v>275.5</v>
      </c>
      <c r="L196" s="124">
        <v>8</v>
      </c>
      <c r="M196" s="122" t="s">
        <v>272</v>
      </c>
      <c r="N196" s="122" t="s">
        <v>276</v>
      </c>
      <c r="O196" s="125" t="s">
        <v>853</v>
      </c>
      <c r="P196" s="126">
        <v>1247111.4300000002</v>
      </c>
      <c r="Q196" s="126">
        <v>0</v>
      </c>
      <c r="R196" s="126">
        <v>0</v>
      </c>
      <c r="S196" s="126">
        <f t="shared" si="13"/>
        <v>1247111.4300000002</v>
      </c>
      <c r="T196" s="126">
        <f t="shared" si="7"/>
        <v>4207.5284412955471</v>
      </c>
      <c r="U196" s="126">
        <v>6033.6405195681509</v>
      </c>
    </row>
    <row r="197" spans="1:21" s="67" customFormat="1" ht="61.5" x14ac:dyDescent="0.9">
      <c r="A197" s="67">
        <v>1</v>
      </c>
      <c r="B197" s="118">
        <f>SUBTOTAL(103,$A$16:A197)</f>
        <v>179</v>
      </c>
      <c r="C197" s="115" t="s">
        <v>814</v>
      </c>
      <c r="D197" s="122">
        <v>1988</v>
      </c>
      <c r="E197" s="127"/>
      <c r="F197" s="127" t="s">
        <v>328</v>
      </c>
      <c r="G197" s="122">
        <v>9</v>
      </c>
      <c r="H197" s="122">
        <v>3</v>
      </c>
      <c r="I197" s="126">
        <v>6561.4</v>
      </c>
      <c r="J197" s="126">
        <v>5844</v>
      </c>
      <c r="K197" s="126">
        <v>5844</v>
      </c>
      <c r="L197" s="124">
        <v>243</v>
      </c>
      <c r="M197" s="122" t="s">
        <v>272</v>
      </c>
      <c r="N197" s="122" t="s">
        <v>276</v>
      </c>
      <c r="O197" s="125" t="s">
        <v>854</v>
      </c>
      <c r="P197" s="126">
        <v>5916180.5500000007</v>
      </c>
      <c r="Q197" s="126">
        <v>0</v>
      </c>
      <c r="R197" s="126">
        <v>0</v>
      </c>
      <c r="S197" s="126">
        <f t="shared" si="13"/>
        <v>5916180.5500000007</v>
      </c>
      <c r="T197" s="126">
        <f t="shared" si="7"/>
        <v>901.66436278842946</v>
      </c>
      <c r="U197" s="126">
        <v>1027.9679641539915</v>
      </c>
    </row>
    <row r="198" spans="1:21" s="67" customFormat="1" ht="61.5" x14ac:dyDescent="0.9">
      <c r="A198" s="67">
        <v>1</v>
      </c>
      <c r="B198" s="118">
        <f>SUBTOTAL(103,$A$16:A198)</f>
        <v>180</v>
      </c>
      <c r="C198" s="115" t="s">
        <v>815</v>
      </c>
      <c r="D198" s="122">
        <v>1988</v>
      </c>
      <c r="E198" s="127"/>
      <c r="F198" s="127" t="s">
        <v>274</v>
      </c>
      <c r="G198" s="122">
        <v>9</v>
      </c>
      <c r="H198" s="122">
        <v>4</v>
      </c>
      <c r="I198" s="126">
        <v>9256.7000000000007</v>
      </c>
      <c r="J198" s="126">
        <v>8471</v>
      </c>
      <c r="K198" s="126">
        <v>8471</v>
      </c>
      <c r="L198" s="124">
        <v>452</v>
      </c>
      <c r="M198" s="122" t="s">
        <v>272</v>
      </c>
      <c r="N198" s="122" t="s">
        <v>276</v>
      </c>
      <c r="O198" s="125" t="s">
        <v>853</v>
      </c>
      <c r="P198" s="126">
        <v>7884233.4699999997</v>
      </c>
      <c r="Q198" s="126">
        <v>0</v>
      </c>
      <c r="R198" s="126">
        <v>0</v>
      </c>
      <c r="S198" s="126">
        <f t="shared" si="13"/>
        <v>7884233.4699999997</v>
      </c>
      <c r="T198" s="126">
        <f t="shared" si="7"/>
        <v>851.73263365994353</v>
      </c>
      <c r="U198" s="126">
        <v>971.53542839240754</v>
      </c>
    </row>
    <row r="199" spans="1:21" s="67" customFormat="1" ht="61.5" x14ac:dyDescent="0.9">
      <c r="A199" s="67">
        <v>1</v>
      </c>
      <c r="B199" s="118">
        <f>SUBTOTAL(103,$A$16:A199)</f>
        <v>181</v>
      </c>
      <c r="C199" s="115" t="s">
        <v>816</v>
      </c>
      <c r="D199" s="122">
        <v>1984</v>
      </c>
      <c r="E199" s="127"/>
      <c r="F199" s="127" t="s">
        <v>328</v>
      </c>
      <c r="G199" s="122">
        <v>9</v>
      </c>
      <c r="H199" s="122">
        <v>5</v>
      </c>
      <c r="I199" s="126">
        <v>12333.3</v>
      </c>
      <c r="J199" s="126">
        <v>9670</v>
      </c>
      <c r="K199" s="126">
        <v>9670</v>
      </c>
      <c r="L199" s="124">
        <v>417</v>
      </c>
      <c r="M199" s="122" t="s">
        <v>272</v>
      </c>
      <c r="N199" s="122" t="s">
        <v>276</v>
      </c>
      <c r="O199" s="125" t="s">
        <v>855</v>
      </c>
      <c r="P199" s="126">
        <v>9861289.3000000007</v>
      </c>
      <c r="Q199" s="126">
        <v>0</v>
      </c>
      <c r="R199" s="126">
        <v>0</v>
      </c>
      <c r="S199" s="126">
        <f t="shared" si="13"/>
        <v>9861289.3000000007</v>
      </c>
      <c r="T199" s="126">
        <f t="shared" si="7"/>
        <v>799.5661582869144</v>
      </c>
      <c r="U199" s="126">
        <v>911.47665263960175</v>
      </c>
    </row>
    <row r="200" spans="1:21" s="67" customFormat="1" ht="61.5" x14ac:dyDescent="0.9">
      <c r="A200" s="67">
        <v>1</v>
      </c>
      <c r="B200" s="118">
        <f>SUBTOTAL(103,$A$16:A200)</f>
        <v>182</v>
      </c>
      <c r="C200" s="115" t="s">
        <v>817</v>
      </c>
      <c r="D200" s="122">
        <v>1987</v>
      </c>
      <c r="E200" s="127"/>
      <c r="F200" s="127" t="s">
        <v>328</v>
      </c>
      <c r="G200" s="122">
        <v>9</v>
      </c>
      <c r="H200" s="122">
        <v>5</v>
      </c>
      <c r="I200" s="126">
        <v>12462.6</v>
      </c>
      <c r="J200" s="126">
        <v>9746.7999999999993</v>
      </c>
      <c r="K200" s="126">
        <v>9746.7999999999993</v>
      </c>
      <c r="L200" s="124">
        <v>419</v>
      </c>
      <c r="M200" s="122" t="s">
        <v>272</v>
      </c>
      <c r="N200" s="122" t="s">
        <v>276</v>
      </c>
      <c r="O200" s="125" t="s">
        <v>855</v>
      </c>
      <c r="P200" s="126">
        <v>9861268.7699999996</v>
      </c>
      <c r="Q200" s="126">
        <v>0</v>
      </c>
      <c r="R200" s="126">
        <v>0</v>
      </c>
      <c r="S200" s="126">
        <f t="shared" si="13"/>
        <v>9861268.7699999996</v>
      </c>
      <c r="T200" s="126">
        <f t="shared" si="7"/>
        <v>791.26897838332286</v>
      </c>
      <c r="U200" s="126">
        <v>902.02004397156293</v>
      </c>
    </row>
    <row r="201" spans="1:21" s="67" customFormat="1" ht="61.5" x14ac:dyDescent="0.9">
      <c r="A201" s="67">
        <v>1</v>
      </c>
      <c r="B201" s="118">
        <f>SUBTOTAL(103,$A$16:A201)</f>
        <v>183</v>
      </c>
      <c r="C201" s="115" t="s">
        <v>818</v>
      </c>
      <c r="D201" s="122">
        <v>1937</v>
      </c>
      <c r="E201" s="127"/>
      <c r="F201" s="127" t="s">
        <v>274</v>
      </c>
      <c r="G201" s="122">
        <v>3</v>
      </c>
      <c r="H201" s="122">
        <v>4</v>
      </c>
      <c r="I201" s="126">
        <v>2718</v>
      </c>
      <c r="J201" s="126">
        <v>2039</v>
      </c>
      <c r="K201" s="126">
        <v>2039</v>
      </c>
      <c r="L201" s="124">
        <v>62</v>
      </c>
      <c r="M201" s="122" t="s">
        <v>272</v>
      </c>
      <c r="N201" s="122" t="s">
        <v>276</v>
      </c>
      <c r="O201" s="125" t="s">
        <v>856</v>
      </c>
      <c r="P201" s="126">
        <v>9311263.3400000017</v>
      </c>
      <c r="Q201" s="126">
        <v>0</v>
      </c>
      <c r="R201" s="126">
        <v>0</v>
      </c>
      <c r="S201" s="126">
        <f t="shared" si="13"/>
        <v>9311263.3400000017</v>
      </c>
      <c r="T201" s="126">
        <f t="shared" si="7"/>
        <v>3425.7775349521712</v>
      </c>
      <c r="U201" s="126">
        <v>3697.5499999999997</v>
      </c>
    </row>
    <row r="202" spans="1:21" s="67" customFormat="1" ht="61.5" x14ac:dyDescent="0.9">
      <c r="A202" s="67">
        <v>1</v>
      </c>
      <c r="B202" s="118">
        <f>SUBTOTAL(103,$A$16:A202)</f>
        <v>184</v>
      </c>
      <c r="C202" s="115" t="s">
        <v>819</v>
      </c>
      <c r="D202" s="122">
        <v>1958</v>
      </c>
      <c r="E202" s="127"/>
      <c r="F202" s="127" t="s">
        <v>274</v>
      </c>
      <c r="G202" s="122">
        <v>2</v>
      </c>
      <c r="H202" s="122">
        <v>2</v>
      </c>
      <c r="I202" s="126">
        <v>478.27</v>
      </c>
      <c r="J202" s="126">
        <v>304.72000000000003</v>
      </c>
      <c r="K202" s="126">
        <v>304.72000000000003</v>
      </c>
      <c r="L202" s="124">
        <v>20</v>
      </c>
      <c r="M202" s="122" t="s">
        <v>272</v>
      </c>
      <c r="N202" s="122" t="s">
        <v>273</v>
      </c>
      <c r="O202" s="125" t="s">
        <v>275</v>
      </c>
      <c r="P202" s="126">
        <v>3165589.23</v>
      </c>
      <c r="Q202" s="126">
        <v>0</v>
      </c>
      <c r="R202" s="126">
        <v>0</v>
      </c>
      <c r="S202" s="126">
        <f t="shared" si="13"/>
        <v>3165589.23</v>
      </c>
      <c r="T202" s="126">
        <f t="shared" si="7"/>
        <v>6618.8329395529727</v>
      </c>
      <c r="U202" s="126">
        <v>9524.5044640056876</v>
      </c>
    </row>
    <row r="203" spans="1:21" s="67" customFormat="1" ht="61.5" x14ac:dyDescent="0.9">
      <c r="A203" s="67">
        <v>1</v>
      </c>
      <c r="B203" s="118">
        <f>SUBTOTAL(103,$A$16:A203)</f>
        <v>185</v>
      </c>
      <c r="C203" s="115" t="s">
        <v>820</v>
      </c>
      <c r="D203" s="122">
        <v>1962</v>
      </c>
      <c r="E203" s="127"/>
      <c r="F203" s="127" t="s">
        <v>274</v>
      </c>
      <c r="G203" s="122">
        <v>6</v>
      </c>
      <c r="H203" s="122">
        <v>5</v>
      </c>
      <c r="I203" s="126">
        <v>5489.1</v>
      </c>
      <c r="J203" s="126">
        <v>4498.1000000000004</v>
      </c>
      <c r="K203" s="126">
        <v>4151.8999999999996</v>
      </c>
      <c r="L203" s="124">
        <v>130</v>
      </c>
      <c r="M203" s="122" t="s">
        <v>272</v>
      </c>
      <c r="N203" s="122" t="s">
        <v>276</v>
      </c>
      <c r="O203" s="125" t="s">
        <v>857</v>
      </c>
      <c r="P203" s="126">
        <v>8070053</v>
      </c>
      <c r="Q203" s="126">
        <v>0</v>
      </c>
      <c r="R203" s="126">
        <v>0</v>
      </c>
      <c r="S203" s="126">
        <f t="shared" si="13"/>
        <v>8070053</v>
      </c>
      <c r="T203" s="126">
        <f t="shared" si="7"/>
        <v>1470.1960248492467</v>
      </c>
      <c r="U203" s="126">
        <v>2090.0637627297733</v>
      </c>
    </row>
    <row r="204" spans="1:21" s="67" customFormat="1" ht="61.5" x14ac:dyDescent="0.9">
      <c r="A204" s="67">
        <v>1</v>
      </c>
      <c r="B204" s="118">
        <f>SUBTOTAL(103,$A$16:A204)</f>
        <v>186</v>
      </c>
      <c r="C204" s="115" t="s">
        <v>821</v>
      </c>
      <c r="D204" s="122">
        <v>1962</v>
      </c>
      <c r="E204" s="127"/>
      <c r="F204" s="127" t="s">
        <v>274</v>
      </c>
      <c r="G204" s="122">
        <v>4</v>
      </c>
      <c r="H204" s="122">
        <v>3</v>
      </c>
      <c r="I204" s="126">
        <v>2946.2</v>
      </c>
      <c r="J204" s="126">
        <v>1810.2</v>
      </c>
      <c r="K204" s="126">
        <v>157.1</v>
      </c>
      <c r="L204" s="124">
        <v>95</v>
      </c>
      <c r="M204" s="122" t="s">
        <v>272</v>
      </c>
      <c r="N204" s="122" t="s">
        <v>276</v>
      </c>
      <c r="O204" s="125" t="s">
        <v>854</v>
      </c>
      <c r="P204" s="126">
        <v>5126857.2</v>
      </c>
      <c r="Q204" s="126">
        <v>0</v>
      </c>
      <c r="R204" s="126">
        <v>0</v>
      </c>
      <c r="S204" s="126">
        <f t="shared" si="13"/>
        <v>5126857.2</v>
      </c>
      <c r="T204" s="126">
        <f t="shared" si="7"/>
        <v>1740.1592559907679</v>
      </c>
      <c r="U204" s="126">
        <v>2473.8495689362567</v>
      </c>
    </row>
    <row r="205" spans="1:21" s="67" customFormat="1" ht="61.5" x14ac:dyDescent="0.9">
      <c r="A205" s="67">
        <v>1</v>
      </c>
      <c r="B205" s="118">
        <f>SUBTOTAL(103,$A$16:A205)</f>
        <v>187</v>
      </c>
      <c r="C205" s="115" t="s">
        <v>822</v>
      </c>
      <c r="D205" s="122">
        <v>1930</v>
      </c>
      <c r="E205" s="127"/>
      <c r="F205" s="127" t="s">
        <v>274</v>
      </c>
      <c r="G205" s="122">
        <v>4</v>
      </c>
      <c r="H205" s="122">
        <v>2</v>
      </c>
      <c r="I205" s="126">
        <v>3000</v>
      </c>
      <c r="J205" s="126">
        <v>2823.84</v>
      </c>
      <c r="K205" s="126">
        <v>1772.64</v>
      </c>
      <c r="L205" s="124">
        <v>98</v>
      </c>
      <c r="M205" s="122" t="s">
        <v>272</v>
      </c>
      <c r="N205" s="122" t="s">
        <v>273</v>
      </c>
      <c r="O205" s="125" t="s">
        <v>275</v>
      </c>
      <c r="P205" s="126">
        <v>8021093.6299999999</v>
      </c>
      <c r="Q205" s="126">
        <v>0</v>
      </c>
      <c r="R205" s="126">
        <v>0</v>
      </c>
      <c r="S205" s="126">
        <f t="shared" si="13"/>
        <v>8021093.6299999999</v>
      </c>
      <c r="T205" s="126">
        <f t="shared" si="7"/>
        <v>2673.6978766666666</v>
      </c>
      <c r="U205" s="126">
        <v>3688.1412666666665</v>
      </c>
    </row>
    <row r="206" spans="1:21" s="67" customFormat="1" ht="61.5" x14ac:dyDescent="0.9">
      <c r="A206" s="67">
        <v>1</v>
      </c>
      <c r="B206" s="118">
        <f>SUBTOTAL(103,$A$16:A206)</f>
        <v>188</v>
      </c>
      <c r="C206" s="115" t="s">
        <v>1250</v>
      </c>
      <c r="D206" s="122">
        <v>1954</v>
      </c>
      <c r="E206" s="127"/>
      <c r="F206" s="127" t="s">
        <v>274</v>
      </c>
      <c r="G206" s="122">
        <v>2</v>
      </c>
      <c r="H206" s="122">
        <v>1</v>
      </c>
      <c r="I206" s="126">
        <v>796.2</v>
      </c>
      <c r="J206" s="126">
        <v>475.5</v>
      </c>
      <c r="K206" s="126">
        <v>475.5</v>
      </c>
      <c r="L206" s="124">
        <v>37</v>
      </c>
      <c r="M206" s="122" t="s">
        <v>272</v>
      </c>
      <c r="N206" s="122" t="s">
        <v>276</v>
      </c>
      <c r="O206" s="125" t="s">
        <v>1396</v>
      </c>
      <c r="P206" s="126">
        <v>3853007.0700000003</v>
      </c>
      <c r="Q206" s="126">
        <v>0</v>
      </c>
      <c r="R206" s="126">
        <v>0</v>
      </c>
      <c r="S206" s="126">
        <f t="shared" si="13"/>
        <v>3853007.0700000003</v>
      </c>
      <c r="T206" s="126">
        <f t="shared" ref="T206:T269" si="14">P206/I206</f>
        <v>4839.2452524491337</v>
      </c>
      <c r="U206" s="126">
        <v>7655.6212047224317</v>
      </c>
    </row>
    <row r="207" spans="1:21" s="67" customFormat="1" ht="61.5" x14ac:dyDescent="0.9">
      <c r="A207" s="67">
        <v>1</v>
      </c>
      <c r="B207" s="118">
        <f>SUBTOTAL(103,$A$16:A207)</f>
        <v>189</v>
      </c>
      <c r="C207" s="115" t="s">
        <v>1251</v>
      </c>
      <c r="D207" s="122">
        <v>1937</v>
      </c>
      <c r="E207" s="127"/>
      <c r="F207" s="127" t="s">
        <v>274</v>
      </c>
      <c r="G207" s="122">
        <v>3</v>
      </c>
      <c r="H207" s="122">
        <v>4</v>
      </c>
      <c r="I207" s="126">
        <v>2626</v>
      </c>
      <c r="J207" s="126">
        <v>2539.62</v>
      </c>
      <c r="K207" s="126">
        <v>2422.8000000000002</v>
      </c>
      <c r="L207" s="124">
        <v>96</v>
      </c>
      <c r="M207" s="122" t="s">
        <v>272</v>
      </c>
      <c r="N207" s="122" t="s">
        <v>276</v>
      </c>
      <c r="O207" s="125" t="s">
        <v>856</v>
      </c>
      <c r="P207" s="126">
        <v>3073982.0300000003</v>
      </c>
      <c r="Q207" s="126">
        <v>0</v>
      </c>
      <c r="R207" s="126">
        <v>0</v>
      </c>
      <c r="S207" s="126">
        <f t="shared" si="13"/>
        <v>3073982.0300000003</v>
      </c>
      <c r="T207" s="126">
        <f t="shared" si="14"/>
        <v>1170.5948324447832</v>
      </c>
      <c r="U207" s="126">
        <v>3697.5499999999997</v>
      </c>
    </row>
    <row r="208" spans="1:21" s="67" customFormat="1" ht="61.5" x14ac:dyDescent="0.9">
      <c r="A208" s="67">
        <v>1</v>
      </c>
      <c r="B208" s="118">
        <f>SUBTOTAL(103,$A$16:A208)</f>
        <v>190</v>
      </c>
      <c r="C208" s="115" t="s">
        <v>1252</v>
      </c>
      <c r="D208" s="122">
        <v>1934</v>
      </c>
      <c r="E208" s="127"/>
      <c r="F208" s="127" t="s">
        <v>274</v>
      </c>
      <c r="G208" s="122">
        <v>4</v>
      </c>
      <c r="H208" s="122">
        <v>6</v>
      </c>
      <c r="I208" s="126">
        <v>3106.06</v>
      </c>
      <c r="J208" s="126">
        <v>2975.66</v>
      </c>
      <c r="K208" s="126">
        <v>2536.1999999999998</v>
      </c>
      <c r="L208" s="124">
        <v>138</v>
      </c>
      <c r="M208" s="122" t="s">
        <v>272</v>
      </c>
      <c r="N208" s="122" t="s">
        <v>276</v>
      </c>
      <c r="O208" s="125" t="s">
        <v>1397</v>
      </c>
      <c r="P208" s="126">
        <v>5597667.4300000006</v>
      </c>
      <c r="Q208" s="126">
        <v>0</v>
      </c>
      <c r="R208" s="126">
        <v>0</v>
      </c>
      <c r="S208" s="126">
        <f t="shared" si="13"/>
        <v>5597667.4300000006</v>
      </c>
      <c r="T208" s="126">
        <f t="shared" si="14"/>
        <v>1802.1762071563332</v>
      </c>
      <c r="U208" s="126">
        <v>2620.7671794492057</v>
      </c>
    </row>
    <row r="209" spans="1:21" s="67" customFormat="1" ht="61.5" x14ac:dyDescent="0.9">
      <c r="A209" s="67">
        <v>1</v>
      </c>
      <c r="B209" s="118">
        <f>SUBTOTAL(103,$A$16:A209)</f>
        <v>191</v>
      </c>
      <c r="C209" s="115" t="s">
        <v>1253</v>
      </c>
      <c r="D209" s="122">
        <v>1965</v>
      </c>
      <c r="E209" s="127"/>
      <c r="F209" s="127" t="s">
        <v>274</v>
      </c>
      <c r="G209" s="122">
        <v>4</v>
      </c>
      <c r="H209" s="122">
        <v>2</v>
      </c>
      <c r="I209" s="126">
        <v>1301</v>
      </c>
      <c r="J209" s="126">
        <v>819</v>
      </c>
      <c r="K209" s="126">
        <v>819</v>
      </c>
      <c r="L209" s="124">
        <v>55</v>
      </c>
      <c r="M209" s="122" t="s">
        <v>272</v>
      </c>
      <c r="N209" s="122" t="s">
        <v>276</v>
      </c>
      <c r="O209" s="125" t="s">
        <v>856</v>
      </c>
      <c r="P209" s="126">
        <v>1085133.2</v>
      </c>
      <c r="Q209" s="126">
        <v>0</v>
      </c>
      <c r="R209" s="126">
        <v>0</v>
      </c>
      <c r="S209" s="126">
        <f t="shared" si="13"/>
        <v>1085133.2</v>
      </c>
      <c r="T209" s="126">
        <f t="shared" si="14"/>
        <v>834.07624903920055</v>
      </c>
      <c r="U209" s="126">
        <v>849.44999999999993</v>
      </c>
    </row>
    <row r="210" spans="1:21" s="67" customFormat="1" ht="61.5" x14ac:dyDescent="0.9">
      <c r="A210" s="67">
        <v>1</v>
      </c>
      <c r="B210" s="118">
        <f>SUBTOTAL(103,$A$16:A210)</f>
        <v>192</v>
      </c>
      <c r="C210" s="115" t="s">
        <v>1254</v>
      </c>
      <c r="D210" s="122">
        <v>1937</v>
      </c>
      <c r="E210" s="127"/>
      <c r="F210" s="127" t="s">
        <v>274</v>
      </c>
      <c r="G210" s="122" t="s">
        <v>318</v>
      </c>
      <c r="H210" s="122" t="s">
        <v>322</v>
      </c>
      <c r="I210" s="126">
        <v>1585.9</v>
      </c>
      <c r="J210" s="126">
        <v>1465.1</v>
      </c>
      <c r="K210" s="126">
        <v>1465.1</v>
      </c>
      <c r="L210" s="124">
        <v>39</v>
      </c>
      <c r="M210" s="122" t="s">
        <v>272</v>
      </c>
      <c r="N210" s="122" t="s">
        <v>273</v>
      </c>
      <c r="O210" s="125" t="s">
        <v>275</v>
      </c>
      <c r="P210" s="126">
        <v>3913221.0100000002</v>
      </c>
      <c r="Q210" s="126">
        <v>0</v>
      </c>
      <c r="R210" s="126">
        <v>0</v>
      </c>
      <c r="S210" s="126">
        <f t="shared" si="13"/>
        <v>3913221.0100000002</v>
      </c>
      <c r="T210" s="126">
        <f t="shared" si="14"/>
        <v>2467.5080459045339</v>
      </c>
      <c r="U210" s="126">
        <v>9983.3621287596943</v>
      </c>
    </row>
    <row r="211" spans="1:21" s="67" customFormat="1" ht="61.5" x14ac:dyDescent="0.9">
      <c r="A211" s="67">
        <v>1</v>
      </c>
      <c r="B211" s="118">
        <f>SUBTOTAL(103,$A$16:A211)</f>
        <v>193</v>
      </c>
      <c r="C211" s="115" t="s">
        <v>1255</v>
      </c>
      <c r="D211" s="122">
        <v>1981</v>
      </c>
      <c r="E211" s="127"/>
      <c r="F211" s="127" t="s">
        <v>328</v>
      </c>
      <c r="G211" s="122">
        <v>5</v>
      </c>
      <c r="H211" s="122">
        <v>6</v>
      </c>
      <c r="I211" s="126">
        <v>6247.1</v>
      </c>
      <c r="J211" s="126">
        <v>4719.7</v>
      </c>
      <c r="K211" s="126">
        <v>4641.3999999999996</v>
      </c>
      <c r="L211" s="124">
        <v>201</v>
      </c>
      <c r="M211" s="122" t="s">
        <v>272</v>
      </c>
      <c r="N211" s="122" t="s">
        <v>276</v>
      </c>
      <c r="O211" s="125" t="s">
        <v>1449</v>
      </c>
      <c r="P211" s="126">
        <v>4087616.94</v>
      </c>
      <c r="Q211" s="126">
        <v>0</v>
      </c>
      <c r="R211" s="126">
        <v>0</v>
      </c>
      <c r="S211" s="126">
        <f t="shared" si="13"/>
        <v>4087616.94</v>
      </c>
      <c r="T211" s="126">
        <f t="shared" si="14"/>
        <v>654.32231595460291</v>
      </c>
      <c r="U211" s="126">
        <v>1228.5938533079348</v>
      </c>
    </row>
    <row r="212" spans="1:21" s="67" customFormat="1" ht="61.5" x14ac:dyDescent="0.9">
      <c r="A212" s="67">
        <v>1</v>
      </c>
      <c r="B212" s="118">
        <f>SUBTOTAL(103,$A$16:A212)</f>
        <v>194</v>
      </c>
      <c r="C212" s="115" t="s">
        <v>1256</v>
      </c>
      <c r="D212" s="122" t="s">
        <v>1431</v>
      </c>
      <c r="E212" s="127"/>
      <c r="F212" s="127" t="s">
        <v>274</v>
      </c>
      <c r="G212" s="122" t="s">
        <v>313</v>
      </c>
      <c r="H212" s="122" t="s">
        <v>314</v>
      </c>
      <c r="I212" s="126">
        <v>286.8</v>
      </c>
      <c r="J212" s="126">
        <v>236.8</v>
      </c>
      <c r="K212" s="126">
        <v>236.8</v>
      </c>
      <c r="L212" s="124">
        <v>9</v>
      </c>
      <c r="M212" s="122" t="s">
        <v>272</v>
      </c>
      <c r="N212" s="122" t="s">
        <v>273</v>
      </c>
      <c r="O212" s="125" t="s">
        <v>275</v>
      </c>
      <c r="P212" s="126">
        <v>1739206.6500000001</v>
      </c>
      <c r="Q212" s="126">
        <v>0</v>
      </c>
      <c r="R212" s="126">
        <v>0</v>
      </c>
      <c r="S212" s="126">
        <f t="shared" si="13"/>
        <v>1739206.6500000001</v>
      </c>
      <c r="T212" s="126">
        <f t="shared" si="14"/>
        <v>6064.1793933054396</v>
      </c>
      <c r="U212" s="126">
        <v>9591.8911408647127</v>
      </c>
    </row>
    <row r="213" spans="1:21" s="67" customFormat="1" ht="61.5" x14ac:dyDescent="0.9">
      <c r="A213" s="67">
        <v>1</v>
      </c>
      <c r="B213" s="118">
        <f>SUBTOTAL(103,$A$16:A213)</f>
        <v>195</v>
      </c>
      <c r="C213" s="115" t="s">
        <v>1257</v>
      </c>
      <c r="D213" s="122">
        <v>1979</v>
      </c>
      <c r="E213" s="127"/>
      <c r="F213" s="127" t="s">
        <v>274</v>
      </c>
      <c r="G213" s="122">
        <v>9</v>
      </c>
      <c r="H213" s="122">
        <v>12</v>
      </c>
      <c r="I213" s="126">
        <v>25677.4</v>
      </c>
      <c r="J213" s="126">
        <v>23071.200000000001</v>
      </c>
      <c r="K213" s="126">
        <v>22907.62</v>
      </c>
      <c r="L213" s="124">
        <v>888</v>
      </c>
      <c r="M213" s="122" t="s">
        <v>272</v>
      </c>
      <c r="N213" s="122" t="s">
        <v>276</v>
      </c>
      <c r="O213" s="125" t="s">
        <v>854</v>
      </c>
      <c r="P213" s="126">
        <v>4419889.76</v>
      </c>
      <c r="Q213" s="126">
        <v>0</v>
      </c>
      <c r="R213" s="126">
        <v>0</v>
      </c>
      <c r="S213" s="126">
        <f t="shared" si="13"/>
        <v>4419889.76</v>
      </c>
      <c r="T213" s="126">
        <f t="shared" si="14"/>
        <v>172.13151487300115</v>
      </c>
      <c r="U213" s="126">
        <v>262.6788148332775</v>
      </c>
    </row>
    <row r="214" spans="1:21" s="67" customFormat="1" ht="61.5" x14ac:dyDescent="0.9">
      <c r="A214" s="67">
        <v>1</v>
      </c>
      <c r="B214" s="118">
        <f>SUBTOTAL(103,$A$16:A214)</f>
        <v>196</v>
      </c>
      <c r="C214" s="115" t="s">
        <v>1258</v>
      </c>
      <c r="D214" s="122">
        <v>1949</v>
      </c>
      <c r="E214" s="127"/>
      <c r="F214" s="127" t="s">
        <v>274</v>
      </c>
      <c r="G214" s="122">
        <v>2</v>
      </c>
      <c r="H214" s="122">
        <v>1</v>
      </c>
      <c r="I214" s="126">
        <v>404.4</v>
      </c>
      <c r="J214" s="126">
        <v>347.7</v>
      </c>
      <c r="K214" s="126">
        <v>374.7</v>
      </c>
      <c r="L214" s="124">
        <v>26</v>
      </c>
      <c r="M214" s="122" t="s">
        <v>272</v>
      </c>
      <c r="N214" s="122" t="s">
        <v>276</v>
      </c>
      <c r="O214" s="125" t="s">
        <v>1396</v>
      </c>
      <c r="P214" s="126">
        <v>2731365</v>
      </c>
      <c r="Q214" s="126">
        <v>0</v>
      </c>
      <c r="R214" s="126">
        <v>0</v>
      </c>
      <c r="S214" s="126">
        <f t="shared" si="13"/>
        <v>2731365</v>
      </c>
      <c r="T214" s="126">
        <f t="shared" si="14"/>
        <v>6754.1172106824934</v>
      </c>
      <c r="U214" s="126">
        <v>9683.3165084075172</v>
      </c>
    </row>
    <row r="215" spans="1:21" s="67" customFormat="1" ht="61.5" x14ac:dyDescent="0.9">
      <c r="A215" s="67">
        <v>1</v>
      </c>
      <c r="B215" s="118">
        <f>SUBTOTAL(103,$A$16:A215)</f>
        <v>197</v>
      </c>
      <c r="C215" s="115" t="s">
        <v>1259</v>
      </c>
      <c r="D215" s="122">
        <v>1958</v>
      </c>
      <c r="E215" s="127"/>
      <c r="F215" s="127" t="s">
        <v>274</v>
      </c>
      <c r="G215" s="122">
        <v>2</v>
      </c>
      <c r="H215" s="122">
        <v>1</v>
      </c>
      <c r="I215" s="126">
        <v>294.7</v>
      </c>
      <c r="J215" s="126">
        <v>278</v>
      </c>
      <c r="K215" s="126">
        <v>278</v>
      </c>
      <c r="L215" s="124">
        <v>13</v>
      </c>
      <c r="M215" s="122" t="s">
        <v>272</v>
      </c>
      <c r="N215" s="122" t="s">
        <v>276</v>
      </c>
      <c r="O215" s="125" t="s">
        <v>1396</v>
      </c>
      <c r="P215" s="126">
        <v>484100.29</v>
      </c>
      <c r="Q215" s="126">
        <v>0</v>
      </c>
      <c r="R215" s="126">
        <v>0</v>
      </c>
      <c r="S215" s="126">
        <f t="shared" si="13"/>
        <v>484100.29</v>
      </c>
      <c r="T215" s="126">
        <f t="shared" si="14"/>
        <v>1642.6884628435698</v>
      </c>
      <c r="U215" s="126">
        <v>3837.4652188666441</v>
      </c>
    </row>
    <row r="216" spans="1:21" s="67" customFormat="1" ht="61.5" x14ac:dyDescent="0.9">
      <c r="A216" s="67">
        <v>1</v>
      </c>
      <c r="B216" s="118">
        <f>SUBTOTAL(103,$A$16:A216)</f>
        <v>198</v>
      </c>
      <c r="C216" s="115" t="s">
        <v>1260</v>
      </c>
      <c r="D216" s="122">
        <v>1993</v>
      </c>
      <c r="E216" s="127"/>
      <c r="F216" s="127" t="s">
        <v>328</v>
      </c>
      <c r="G216" s="122">
        <v>9</v>
      </c>
      <c r="H216" s="122">
        <v>4</v>
      </c>
      <c r="I216" s="126">
        <v>10873.5</v>
      </c>
      <c r="J216" s="126">
        <v>7661.3</v>
      </c>
      <c r="K216" s="126">
        <v>7661.3</v>
      </c>
      <c r="L216" s="124">
        <v>328</v>
      </c>
      <c r="M216" s="122" t="s">
        <v>272</v>
      </c>
      <c r="N216" s="122" t="s">
        <v>276</v>
      </c>
      <c r="O216" s="125" t="s">
        <v>1450</v>
      </c>
      <c r="P216" s="126">
        <v>7889085.5</v>
      </c>
      <c r="Q216" s="126">
        <v>0</v>
      </c>
      <c r="R216" s="126">
        <v>0</v>
      </c>
      <c r="S216" s="126">
        <f t="shared" si="13"/>
        <v>7889085.5</v>
      </c>
      <c r="T216" s="126">
        <f t="shared" si="14"/>
        <v>725.53322297328373</v>
      </c>
      <c r="U216" s="126">
        <v>827.0761024509128</v>
      </c>
    </row>
    <row r="217" spans="1:21" s="67" customFormat="1" ht="61.5" x14ac:dyDescent="0.9">
      <c r="A217" s="67">
        <v>1</v>
      </c>
      <c r="B217" s="118">
        <f>SUBTOTAL(103,$A$16:A217)</f>
        <v>199</v>
      </c>
      <c r="C217" s="115" t="s">
        <v>1374</v>
      </c>
      <c r="D217" s="122">
        <v>1931</v>
      </c>
      <c r="E217" s="127"/>
      <c r="F217" s="127" t="s">
        <v>274</v>
      </c>
      <c r="G217" s="122">
        <v>4</v>
      </c>
      <c r="H217" s="122">
        <v>6</v>
      </c>
      <c r="I217" s="126">
        <v>4408.1000000000004</v>
      </c>
      <c r="J217" s="126">
        <v>4408.1000000000004</v>
      </c>
      <c r="K217" s="126">
        <v>4162.3</v>
      </c>
      <c r="L217" s="124">
        <v>109</v>
      </c>
      <c r="M217" s="122" t="s">
        <v>272</v>
      </c>
      <c r="N217" s="122" t="s">
        <v>276</v>
      </c>
      <c r="O217" s="125" t="s">
        <v>1460</v>
      </c>
      <c r="P217" s="126">
        <v>6422564.7000000002</v>
      </c>
      <c r="Q217" s="126">
        <v>0</v>
      </c>
      <c r="R217" s="126">
        <v>0</v>
      </c>
      <c r="S217" s="126">
        <f t="shared" si="13"/>
        <v>6422564.7000000002</v>
      </c>
      <c r="T217" s="126">
        <f t="shared" si="14"/>
        <v>1456.9916063610171</v>
      </c>
      <c r="U217" s="126">
        <v>2371.1162928018871</v>
      </c>
    </row>
    <row r="218" spans="1:21" s="67" customFormat="1" ht="61.5" x14ac:dyDescent="0.9">
      <c r="A218" s="67">
        <v>1</v>
      </c>
      <c r="B218" s="118">
        <f>SUBTOTAL(103,$A$16:A218)</f>
        <v>200</v>
      </c>
      <c r="C218" s="115" t="s">
        <v>1478</v>
      </c>
      <c r="D218" s="122">
        <v>1986</v>
      </c>
      <c r="E218" s="127"/>
      <c r="F218" s="127" t="s">
        <v>274</v>
      </c>
      <c r="G218" s="122">
        <v>9</v>
      </c>
      <c r="H218" s="122">
        <v>9</v>
      </c>
      <c r="I218" s="126">
        <v>28272.12</v>
      </c>
      <c r="J218" s="126">
        <v>23513.1</v>
      </c>
      <c r="K218" s="126">
        <v>20084.3</v>
      </c>
      <c r="L218" s="124">
        <v>668</v>
      </c>
      <c r="M218" s="122" t="s">
        <v>272</v>
      </c>
      <c r="N218" s="122" t="s">
        <v>351</v>
      </c>
      <c r="O218" s="125" t="s">
        <v>1499</v>
      </c>
      <c r="P218" s="126">
        <v>15276776.880000001</v>
      </c>
      <c r="Q218" s="126">
        <v>0</v>
      </c>
      <c r="R218" s="126">
        <v>0</v>
      </c>
      <c r="S218" s="126">
        <f t="shared" si="13"/>
        <v>15276776.880000001</v>
      </c>
      <c r="T218" s="126">
        <f t="shared" si="14"/>
        <v>540.34776592629066</v>
      </c>
      <c r="U218" s="126">
        <v>715.71</v>
      </c>
    </row>
    <row r="219" spans="1:21" s="67" customFormat="1" ht="61.5" x14ac:dyDescent="0.9">
      <c r="A219" s="67">
        <v>1</v>
      </c>
      <c r="B219" s="118">
        <f>SUBTOTAL(103,$A$16:A219)</f>
        <v>201</v>
      </c>
      <c r="C219" s="115" t="s">
        <v>1494</v>
      </c>
      <c r="D219" s="122">
        <v>1986</v>
      </c>
      <c r="E219" s="127"/>
      <c r="F219" s="127" t="s">
        <v>328</v>
      </c>
      <c r="G219" s="122">
        <v>9</v>
      </c>
      <c r="H219" s="122">
        <v>3</v>
      </c>
      <c r="I219" s="126">
        <v>7745.7</v>
      </c>
      <c r="J219" s="126">
        <v>7042.6</v>
      </c>
      <c r="K219" s="126">
        <v>5847.8</v>
      </c>
      <c r="L219" s="124">
        <v>220</v>
      </c>
      <c r="M219" s="122" t="s">
        <v>272</v>
      </c>
      <c r="N219" s="122" t="s">
        <v>276</v>
      </c>
      <c r="O219" s="125" t="s">
        <v>1500</v>
      </c>
      <c r="P219" s="126">
        <v>5917123.5099999998</v>
      </c>
      <c r="Q219" s="126">
        <v>0</v>
      </c>
      <c r="R219" s="126">
        <v>0</v>
      </c>
      <c r="S219" s="126">
        <f t="shared" si="13"/>
        <v>5917123.5099999998</v>
      </c>
      <c r="T219" s="126">
        <f t="shared" si="14"/>
        <v>763.92366216094092</v>
      </c>
      <c r="U219" s="126">
        <v>870.79</v>
      </c>
    </row>
    <row r="220" spans="1:21" s="67" customFormat="1" ht="61.5" x14ac:dyDescent="0.9">
      <c r="A220" s="67">
        <v>1</v>
      </c>
      <c r="B220" s="118">
        <f>SUBTOTAL(103,$A$16:A220)</f>
        <v>202</v>
      </c>
      <c r="C220" s="115" t="s">
        <v>1495</v>
      </c>
      <c r="D220" s="122">
        <v>1986</v>
      </c>
      <c r="E220" s="127"/>
      <c r="F220" s="127" t="s">
        <v>328</v>
      </c>
      <c r="G220" s="122">
        <v>9</v>
      </c>
      <c r="H220" s="122">
        <v>4</v>
      </c>
      <c r="I220" s="126">
        <v>8861.6</v>
      </c>
      <c r="J220" s="126">
        <v>7955.2</v>
      </c>
      <c r="K220" s="126">
        <v>7895.7</v>
      </c>
      <c r="L220" s="124">
        <v>295</v>
      </c>
      <c r="M220" s="122" t="s">
        <v>272</v>
      </c>
      <c r="N220" s="122" t="s">
        <v>307</v>
      </c>
      <c r="O220" s="125" t="s">
        <v>1501</v>
      </c>
      <c r="P220" s="126">
        <v>7896847.4199999999</v>
      </c>
      <c r="Q220" s="126">
        <v>0</v>
      </c>
      <c r="R220" s="126">
        <v>0</v>
      </c>
      <c r="S220" s="126">
        <f t="shared" si="13"/>
        <v>7896847.4199999999</v>
      </c>
      <c r="T220" s="126">
        <f t="shared" si="14"/>
        <v>891.13110724925514</v>
      </c>
      <c r="U220" s="126">
        <v>1014.85</v>
      </c>
    </row>
    <row r="221" spans="1:21" s="67" customFormat="1" ht="61.5" x14ac:dyDescent="0.9">
      <c r="A221" s="67">
        <v>1</v>
      </c>
      <c r="B221" s="118">
        <f>SUBTOTAL(103,$A$16:A221)</f>
        <v>203</v>
      </c>
      <c r="C221" s="115" t="s">
        <v>1496</v>
      </c>
      <c r="D221" s="122">
        <v>1988</v>
      </c>
      <c r="E221" s="127"/>
      <c r="F221" s="127" t="s">
        <v>328</v>
      </c>
      <c r="G221" s="122">
        <v>9</v>
      </c>
      <c r="H221" s="122">
        <v>3</v>
      </c>
      <c r="I221" s="126">
        <v>6529.9</v>
      </c>
      <c r="J221" s="126">
        <v>5819.3</v>
      </c>
      <c r="K221" s="126">
        <v>5819.3</v>
      </c>
      <c r="L221" s="124">
        <v>281</v>
      </c>
      <c r="M221" s="122" t="s">
        <v>272</v>
      </c>
      <c r="N221" s="122" t="s">
        <v>276</v>
      </c>
      <c r="O221" s="125" t="s">
        <v>1502</v>
      </c>
      <c r="P221" s="126">
        <v>5718113.29</v>
      </c>
      <c r="Q221" s="126">
        <v>0</v>
      </c>
      <c r="R221" s="126">
        <v>0</v>
      </c>
      <c r="S221" s="126">
        <f t="shared" si="13"/>
        <v>5718113.29</v>
      </c>
      <c r="T221" s="126">
        <f t="shared" si="14"/>
        <v>875.68160155591977</v>
      </c>
      <c r="U221" s="126">
        <v>1032.93</v>
      </c>
    </row>
    <row r="222" spans="1:21" s="67" customFormat="1" ht="61.5" x14ac:dyDescent="0.9">
      <c r="A222" s="67">
        <v>1</v>
      </c>
      <c r="B222" s="118">
        <f>SUBTOTAL(103,$A$16:A222)</f>
        <v>204</v>
      </c>
      <c r="C222" s="115" t="s">
        <v>1497</v>
      </c>
      <c r="D222" s="122">
        <v>1986</v>
      </c>
      <c r="E222" s="127"/>
      <c r="F222" s="127" t="s">
        <v>328</v>
      </c>
      <c r="G222" s="122">
        <v>9</v>
      </c>
      <c r="H222" s="122">
        <v>4</v>
      </c>
      <c r="I222" s="126">
        <v>9402.14</v>
      </c>
      <c r="J222" s="126">
        <v>7377.1</v>
      </c>
      <c r="K222" s="126">
        <v>6958.4</v>
      </c>
      <c r="L222" s="124">
        <v>323</v>
      </c>
      <c r="M222" s="122" t="s">
        <v>272</v>
      </c>
      <c r="N222" s="122" t="s">
        <v>276</v>
      </c>
      <c r="O222" s="125" t="s">
        <v>853</v>
      </c>
      <c r="P222" s="126">
        <v>7889085.5</v>
      </c>
      <c r="Q222" s="126">
        <v>0</v>
      </c>
      <c r="R222" s="126">
        <v>0</v>
      </c>
      <c r="S222" s="126">
        <f t="shared" si="13"/>
        <v>7889085.5</v>
      </c>
      <c r="T222" s="126">
        <f t="shared" si="14"/>
        <v>839.07339180229189</v>
      </c>
      <c r="U222" s="126">
        <v>956.51</v>
      </c>
    </row>
    <row r="223" spans="1:21" s="67" customFormat="1" ht="61.5" x14ac:dyDescent="0.9">
      <c r="A223" s="67">
        <v>1</v>
      </c>
      <c r="B223" s="118">
        <f>SUBTOTAL(103,$A$16:A223)</f>
        <v>205</v>
      </c>
      <c r="C223" s="115" t="s">
        <v>1498</v>
      </c>
      <c r="D223" s="122">
        <v>1987</v>
      </c>
      <c r="E223" s="127"/>
      <c r="F223" s="127" t="s">
        <v>274</v>
      </c>
      <c r="G223" s="122">
        <v>9</v>
      </c>
      <c r="H223" s="122">
        <v>3</v>
      </c>
      <c r="I223" s="126">
        <v>8041.69</v>
      </c>
      <c r="J223" s="126">
        <v>5941.7</v>
      </c>
      <c r="K223" s="126">
        <v>5297.4</v>
      </c>
      <c r="L223" s="124">
        <v>206</v>
      </c>
      <c r="M223" s="122" t="s">
        <v>272</v>
      </c>
      <c r="N223" s="122" t="s">
        <v>276</v>
      </c>
      <c r="O223" s="125" t="s">
        <v>854</v>
      </c>
      <c r="P223" s="126">
        <v>5900094.2999999998</v>
      </c>
      <c r="Q223" s="126">
        <v>0</v>
      </c>
      <c r="R223" s="126">
        <v>0</v>
      </c>
      <c r="S223" s="126">
        <f t="shared" si="13"/>
        <v>5900094.2999999998</v>
      </c>
      <c r="T223" s="126">
        <f t="shared" si="14"/>
        <v>733.68835406487938</v>
      </c>
      <c r="U223" s="126">
        <v>838.74</v>
      </c>
    </row>
    <row r="224" spans="1:21" s="67" customFormat="1" ht="61.5" x14ac:dyDescent="0.9">
      <c r="B224" s="115" t="s">
        <v>808</v>
      </c>
      <c r="C224" s="119"/>
      <c r="D224" s="122" t="s">
        <v>943</v>
      </c>
      <c r="E224" s="122" t="s">
        <v>943</v>
      </c>
      <c r="F224" s="122" t="s">
        <v>943</v>
      </c>
      <c r="G224" s="122" t="s">
        <v>943</v>
      </c>
      <c r="H224" s="122" t="s">
        <v>943</v>
      </c>
      <c r="I224" s="123">
        <f>SUM(I225:I229)</f>
        <v>33220.74</v>
      </c>
      <c r="J224" s="123">
        <f t="shared" ref="J224:L224" si="15">SUM(J225:J229)</f>
        <v>29349.599999999999</v>
      </c>
      <c r="K224" s="123">
        <f t="shared" si="15"/>
        <v>25416.249999999996</v>
      </c>
      <c r="L224" s="124">
        <f t="shared" si="15"/>
        <v>1601</v>
      </c>
      <c r="M224" s="122" t="s">
        <v>943</v>
      </c>
      <c r="N224" s="122" t="s">
        <v>943</v>
      </c>
      <c r="O224" s="125" t="s">
        <v>943</v>
      </c>
      <c r="P224" s="123">
        <v>41793239.829999998</v>
      </c>
      <c r="Q224" s="123">
        <f t="shared" ref="Q224:S224" si="16">SUM(Q225:Q229)</f>
        <v>0</v>
      </c>
      <c r="R224" s="123">
        <f t="shared" si="16"/>
        <v>0</v>
      </c>
      <c r="S224" s="123">
        <f t="shared" si="16"/>
        <v>41793239.829999998</v>
      </c>
      <c r="T224" s="126">
        <f t="shared" si="14"/>
        <v>1258.046624789213</v>
      </c>
      <c r="U224" s="126">
        <f>MAX(U225:U229)</f>
        <v>5320.5617608183447</v>
      </c>
    </row>
    <row r="225" spans="1:21" s="67" customFormat="1" ht="61.5" x14ac:dyDescent="0.9">
      <c r="A225" s="67">
        <v>1</v>
      </c>
      <c r="B225" s="118">
        <f>SUBTOTAL(103,$A$16:A225)</f>
        <v>206</v>
      </c>
      <c r="C225" s="115" t="s">
        <v>397</v>
      </c>
      <c r="D225" s="122">
        <v>1976</v>
      </c>
      <c r="E225" s="127">
        <v>2016</v>
      </c>
      <c r="F225" s="127" t="s">
        <v>321</v>
      </c>
      <c r="G225" s="122">
        <v>14</v>
      </c>
      <c r="H225" s="122">
        <v>1</v>
      </c>
      <c r="I225" s="126">
        <v>4634.7</v>
      </c>
      <c r="J225" s="126">
        <v>4158.8</v>
      </c>
      <c r="K225" s="126">
        <v>3879.6</v>
      </c>
      <c r="L225" s="124">
        <v>198</v>
      </c>
      <c r="M225" s="122" t="s">
        <v>272</v>
      </c>
      <c r="N225" s="122" t="s">
        <v>276</v>
      </c>
      <c r="O225" s="125" t="s">
        <v>329</v>
      </c>
      <c r="P225" s="126">
        <v>2424454.89</v>
      </c>
      <c r="Q225" s="126">
        <v>0</v>
      </c>
      <c r="R225" s="126">
        <v>0</v>
      </c>
      <c r="S225" s="126">
        <f t="shared" ref="S225:S229" si="17">P225-Q225-R225</f>
        <v>2424454.89</v>
      </c>
      <c r="T225" s="126">
        <f t="shared" si="14"/>
        <v>523.10934688329348</v>
      </c>
      <c r="U225" s="126">
        <v>661.94142490344586</v>
      </c>
    </row>
    <row r="226" spans="1:21" s="67" customFormat="1" ht="61.5" x14ac:dyDescent="0.9">
      <c r="A226" s="67">
        <v>1</v>
      </c>
      <c r="B226" s="118">
        <f>SUBTOTAL(103,$A$16:A226)</f>
        <v>207</v>
      </c>
      <c r="C226" s="115" t="s">
        <v>398</v>
      </c>
      <c r="D226" s="122">
        <v>1983</v>
      </c>
      <c r="E226" s="127">
        <v>2016</v>
      </c>
      <c r="F226" s="127" t="s">
        <v>321</v>
      </c>
      <c r="G226" s="122">
        <v>5</v>
      </c>
      <c r="H226" s="122">
        <v>5</v>
      </c>
      <c r="I226" s="126">
        <v>3913.2000000000003</v>
      </c>
      <c r="J226" s="126">
        <v>3443.4</v>
      </c>
      <c r="K226" s="126">
        <v>3334.1</v>
      </c>
      <c r="L226" s="124">
        <v>163</v>
      </c>
      <c r="M226" s="122" t="s">
        <v>272</v>
      </c>
      <c r="N226" s="122" t="s">
        <v>276</v>
      </c>
      <c r="O226" s="125" t="s">
        <v>329</v>
      </c>
      <c r="P226" s="126">
        <v>6120000</v>
      </c>
      <c r="Q226" s="126">
        <v>0</v>
      </c>
      <c r="R226" s="126">
        <v>0</v>
      </c>
      <c r="S226" s="126">
        <f t="shared" si="17"/>
        <v>6120000</v>
      </c>
      <c r="T226" s="126">
        <f t="shared" si="14"/>
        <v>1563.9374425022997</v>
      </c>
      <c r="U226" s="126">
        <v>4859.7646979454157</v>
      </c>
    </row>
    <row r="227" spans="1:21" s="67" customFormat="1" ht="61.5" x14ac:dyDescent="0.9">
      <c r="A227" s="67">
        <v>1</v>
      </c>
      <c r="B227" s="118">
        <f>SUBTOTAL(103,$A$16:A227)</f>
        <v>208</v>
      </c>
      <c r="C227" s="115" t="s">
        <v>399</v>
      </c>
      <c r="D227" s="122">
        <v>1980</v>
      </c>
      <c r="E227" s="127">
        <v>2015</v>
      </c>
      <c r="F227" s="127" t="s">
        <v>321</v>
      </c>
      <c r="G227" s="122">
        <v>9</v>
      </c>
      <c r="H227" s="122">
        <v>5</v>
      </c>
      <c r="I227" s="126">
        <v>12180.699999999999</v>
      </c>
      <c r="J227" s="126">
        <v>10849.3</v>
      </c>
      <c r="K227" s="126">
        <v>10778.1</v>
      </c>
      <c r="L227" s="124">
        <v>498</v>
      </c>
      <c r="M227" s="122" t="s">
        <v>272</v>
      </c>
      <c r="N227" s="122" t="s">
        <v>276</v>
      </c>
      <c r="O227" s="125" t="s">
        <v>329</v>
      </c>
      <c r="P227" s="126">
        <v>14515249.970000001</v>
      </c>
      <c r="Q227" s="126">
        <v>0</v>
      </c>
      <c r="R227" s="126">
        <v>0</v>
      </c>
      <c r="S227" s="126">
        <f t="shared" si="17"/>
        <v>14515249.970000001</v>
      </c>
      <c r="T227" s="126">
        <f t="shared" si="14"/>
        <v>1191.6597543655128</v>
      </c>
      <c r="U227" s="126">
        <v>5320.5617608183447</v>
      </c>
    </row>
    <row r="228" spans="1:21" s="67" customFormat="1" ht="61.5" x14ac:dyDescent="0.9">
      <c r="A228" s="67">
        <v>1</v>
      </c>
      <c r="B228" s="118">
        <f>SUBTOTAL(103,$A$16:A228)</f>
        <v>209</v>
      </c>
      <c r="C228" s="115" t="s">
        <v>1261</v>
      </c>
      <c r="D228" s="122">
        <v>1979</v>
      </c>
      <c r="E228" s="127">
        <v>2016</v>
      </c>
      <c r="F228" s="127" t="s">
        <v>328</v>
      </c>
      <c r="G228" s="122">
        <v>9</v>
      </c>
      <c r="H228" s="122">
        <v>4</v>
      </c>
      <c r="I228" s="126">
        <v>7780.54</v>
      </c>
      <c r="J228" s="126">
        <v>7022.3</v>
      </c>
      <c r="K228" s="126">
        <v>6468.65</v>
      </c>
      <c r="L228" s="124">
        <v>388</v>
      </c>
      <c r="M228" s="122" t="s">
        <v>272</v>
      </c>
      <c r="N228" s="122" t="s">
        <v>276</v>
      </c>
      <c r="O228" s="125" t="s">
        <v>329</v>
      </c>
      <c r="P228" s="126">
        <v>14795614.68</v>
      </c>
      <c r="Q228" s="126">
        <v>0</v>
      </c>
      <c r="R228" s="126">
        <v>0</v>
      </c>
      <c r="S228" s="126">
        <f t="shared" si="17"/>
        <v>14795614.68</v>
      </c>
      <c r="T228" s="126">
        <f t="shared" si="14"/>
        <v>1901.6179699609538</v>
      </c>
      <c r="U228" s="126">
        <v>3929.6299999999997</v>
      </c>
    </row>
    <row r="229" spans="1:21" s="67" customFormat="1" ht="61.5" x14ac:dyDescent="0.9">
      <c r="A229" s="67">
        <v>1</v>
      </c>
      <c r="B229" s="118">
        <f>SUBTOTAL(103,$A$16:A229)</f>
        <v>210</v>
      </c>
      <c r="C229" s="115" t="s">
        <v>1262</v>
      </c>
      <c r="D229" s="122">
        <v>1985</v>
      </c>
      <c r="E229" s="127">
        <v>2018</v>
      </c>
      <c r="F229" s="127" t="s">
        <v>274</v>
      </c>
      <c r="G229" s="122">
        <v>9</v>
      </c>
      <c r="H229" s="122">
        <v>1</v>
      </c>
      <c r="I229" s="126">
        <v>4711.6000000000004</v>
      </c>
      <c r="J229" s="126">
        <v>3875.8</v>
      </c>
      <c r="K229" s="126">
        <v>955.8</v>
      </c>
      <c r="L229" s="124">
        <v>354</v>
      </c>
      <c r="M229" s="122" t="s">
        <v>272</v>
      </c>
      <c r="N229" s="122" t="s">
        <v>276</v>
      </c>
      <c r="O229" s="125" t="s">
        <v>1451</v>
      </c>
      <c r="P229" s="126">
        <v>3937920.29</v>
      </c>
      <c r="Q229" s="126">
        <v>0</v>
      </c>
      <c r="R229" s="126">
        <v>0</v>
      </c>
      <c r="S229" s="126">
        <f t="shared" si="17"/>
        <v>3937920.29</v>
      </c>
      <c r="T229" s="126">
        <f t="shared" si="14"/>
        <v>835.79257364801765</v>
      </c>
      <c r="U229" s="126">
        <v>954.3692164020714</v>
      </c>
    </row>
    <row r="230" spans="1:21" s="67" customFormat="1" ht="61.5" x14ac:dyDescent="0.9">
      <c r="B230" s="115" t="s">
        <v>867</v>
      </c>
      <c r="C230" s="119"/>
      <c r="D230" s="122" t="s">
        <v>943</v>
      </c>
      <c r="E230" s="122" t="s">
        <v>943</v>
      </c>
      <c r="F230" s="122" t="s">
        <v>943</v>
      </c>
      <c r="G230" s="122" t="s">
        <v>943</v>
      </c>
      <c r="H230" s="122" t="s">
        <v>943</v>
      </c>
      <c r="I230" s="123">
        <f>SUM(I231:I259)</f>
        <v>100308.71000000002</v>
      </c>
      <c r="J230" s="123">
        <f t="shared" ref="J230:L230" si="18">SUM(J231:J259)</f>
        <v>81705.98</v>
      </c>
      <c r="K230" s="123">
        <f t="shared" si="18"/>
        <v>79903.600000000006</v>
      </c>
      <c r="L230" s="124">
        <f t="shared" si="18"/>
        <v>3941</v>
      </c>
      <c r="M230" s="122" t="s">
        <v>943</v>
      </c>
      <c r="N230" s="122" t="s">
        <v>943</v>
      </c>
      <c r="O230" s="125" t="s">
        <v>943</v>
      </c>
      <c r="P230" s="126">
        <v>123375949.55000003</v>
      </c>
      <c r="Q230" s="126">
        <f t="shared" ref="Q230:S230" si="19">SUM(Q231:Q259)</f>
        <v>0</v>
      </c>
      <c r="R230" s="126">
        <f t="shared" si="19"/>
        <v>0</v>
      </c>
      <c r="S230" s="126">
        <f t="shared" si="19"/>
        <v>123375949.55000003</v>
      </c>
      <c r="T230" s="126">
        <f t="shared" si="14"/>
        <v>1229.9624783331378</v>
      </c>
      <c r="U230" s="126">
        <f>MAX(U231:U258)</f>
        <v>12726.533840933193</v>
      </c>
    </row>
    <row r="231" spans="1:21" s="67" customFormat="1" ht="61.5" x14ac:dyDescent="0.9">
      <c r="A231" s="67">
        <v>1</v>
      </c>
      <c r="B231" s="118">
        <f>SUBTOTAL(103,$A$16:A231)</f>
        <v>211</v>
      </c>
      <c r="C231" s="115" t="s">
        <v>658</v>
      </c>
      <c r="D231" s="122">
        <v>1987</v>
      </c>
      <c r="E231" s="127"/>
      <c r="F231" s="127" t="s">
        <v>274</v>
      </c>
      <c r="G231" s="122">
        <v>10</v>
      </c>
      <c r="H231" s="122">
        <v>1</v>
      </c>
      <c r="I231" s="126">
        <v>3669.9</v>
      </c>
      <c r="J231" s="126">
        <v>1997.7</v>
      </c>
      <c r="K231" s="126">
        <v>1997.7</v>
      </c>
      <c r="L231" s="124">
        <v>156</v>
      </c>
      <c r="M231" s="122" t="s">
        <v>272</v>
      </c>
      <c r="N231" s="122" t="s">
        <v>351</v>
      </c>
      <c r="O231" s="125" t="s">
        <v>752</v>
      </c>
      <c r="P231" s="126">
        <v>4496606</v>
      </c>
      <c r="Q231" s="126">
        <v>0</v>
      </c>
      <c r="R231" s="126">
        <v>0</v>
      </c>
      <c r="S231" s="126">
        <f t="shared" ref="S231:S259" si="20">P231-Q231-R231</f>
        <v>4496606</v>
      </c>
      <c r="T231" s="126">
        <f t="shared" si="14"/>
        <v>1225.2666285184882</v>
      </c>
      <c r="U231" s="126">
        <v>1327.0018256628246</v>
      </c>
    </row>
    <row r="232" spans="1:21" s="67" customFormat="1" ht="61.5" x14ac:dyDescent="0.9">
      <c r="A232" s="67">
        <v>1</v>
      </c>
      <c r="B232" s="118">
        <f>SUBTOTAL(103,$A$16:A232)</f>
        <v>212</v>
      </c>
      <c r="C232" s="115" t="s">
        <v>663</v>
      </c>
      <c r="D232" s="122">
        <v>1967</v>
      </c>
      <c r="E232" s="127"/>
      <c r="F232" s="127" t="s">
        <v>274</v>
      </c>
      <c r="G232" s="122">
        <v>5</v>
      </c>
      <c r="H232" s="122">
        <v>4</v>
      </c>
      <c r="I232" s="126">
        <v>3578.24</v>
      </c>
      <c r="J232" s="126">
        <v>3578.24</v>
      </c>
      <c r="K232" s="126">
        <v>3012.01</v>
      </c>
      <c r="L232" s="124">
        <v>120</v>
      </c>
      <c r="M232" s="122" t="s">
        <v>272</v>
      </c>
      <c r="N232" s="122" t="s">
        <v>276</v>
      </c>
      <c r="O232" s="125" t="s">
        <v>753</v>
      </c>
      <c r="P232" s="126">
        <v>6308598.71</v>
      </c>
      <c r="Q232" s="126">
        <v>0</v>
      </c>
      <c r="R232" s="126">
        <v>0</v>
      </c>
      <c r="S232" s="126">
        <f t="shared" si="20"/>
        <v>6308598.71</v>
      </c>
      <c r="T232" s="126">
        <f t="shared" si="14"/>
        <v>1763.0451590726168</v>
      </c>
      <c r="U232" s="126">
        <v>1763.0451601904847</v>
      </c>
    </row>
    <row r="233" spans="1:21" s="67" customFormat="1" ht="61.5" x14ac:dyDescent="0.9">
      <c r="A233" s="67">
        <v>1</v>
      </c>
      <c r="B233" s="118">
        <f>SUBTOTAL(103,$A$16:A233)</f>
        <v>213</v>
      </c>
      <c r="C233" s="115" t="s">
        <v>664</v>
      </c>
      <c r="D233" s="122">
        <v>1965</v>
      </c>
      <c r="E233" s="127"/>
      <c r="F233" s="127" t="s">
        <v>274</v>
      </c>
      <c r="G233" s="122">
        <v>5</v>
      </c>
      <c r="H233" s="122">
        <v>2</v>
      </c>
      <c r="I233" s="126">
        <v>4985.66</v>
      </c>
      <c r="J233" s="126">
        <v>2300.6799999999998</v>
      </c>
      <c r="K233" s="126">
        <v>2300.6799999999998</v>
      </c>
      <c r="L233" s="124">
        <v>202</v>
      </c>
      <c r="M233" s="122" t="s">
        <v>272</v>
      </c>
      <c r="N233" s="122" t="s">
        <v>276</v>
      </c>
      <c r="O233" s="125" t="s">
        <v>754</v>
      </c>
      <c r="P233" s="126">
        <v>13470892.08</v>
      </c>
      <c r="Q233" s="126">
        <v>0</v>
      </c>
      <c r="R233" s="126">
        <v>0</v>
      </c>
      <c r="S233" s="126">
        <f t="shared" si="20"/>
        <v>13470892.08</v>
      </c>
      <c r="T233" s="126">
        <f t="shared" si="14"/>
        <v>2701.9275441967566</v>
      </c>
      <c r="U233" s="126">
        <v>2991.1414978157354</v>
      </c>
    </row>
    <row r="234" spans="1:21" s="67" customFormat="1" ht="61.5" x14ac:dyDescent="0.9">
      <c r="A234" s="67">
        <v>1</v>
      </c>
      <c r="B234" s="118">
        <f>SUBTOTAL(103,$A$16:A234)</f>
        <v>214</v>
      </c>
      <c r="C234" s="115" t="s">
        <v>667</v>
      </c>
      <c r="D234" s="122">
        <v>1993</v>
      </c>
      <c r="E234" s="127"/>
      <c r="F234" s="127" t="s">
        <v>321</v>
      </c>
      <c r="G234" s="122">
        <v>9</v>
      </c>
      <c r="H234" s="122">
        <v>2</v>
      </c>
      <c r="I234" s="126">
        <v>5060.3</v>
      </c>
      <c r="J234" s="126">
        <v>2946.8</v>
      </c>
      <c r="K234" s="126">
        <v>2946.8</v>
      </c>
      <c r="L234" s="124">
        <v>281</v>
      </c>
      <c r="M234" s="122" t="s">
        <v>272</v>
      </c>
      <c r="N234" s="122" t="s">
        <v>276</v>
      </c>
      <c r="O234" s="125" t="s">
        <v>755</v>
      </c>
      <c r="P234" s="126">
        <v>4496606</v>
      </c>
      <c r="Q234" s="126">
        <v>0</v>
      </c>
      <c r="R234" s="126">
        <v>0</v>
      </c>
      <c r="S234" s="126">
        <f t="shared" si="20"/>
        <v>4496606</v>
      </c>
      <c r="T234" s="126">
        <f t="shared" si="14"/>
        <v>888.60462818409974</v>
      </c>
      <c r="U234" s="126">
        <v>888.60462818409974</v>
      </c>
    </row>
    <row r="235" spans="1:21" s="67" customFormat="1" ht="61.5" x14ac:dyDescent="0.9">
      <c r="A235" s="67">
        <v>1</v>
      </c>
      <c r="B235" s="118">
        <f>SUBTOTAL(103,$A$16:A235)</f>
        <v>215</v>
      </c>
      <c r="C235" s="115" t="s">
        <v>669</v>
      </c>
      <c r="D235" s="122">
        <v>1959</v>
      </c>
      <c r="E235" s="127"/>
      <c r="F235" s="127" t="s">
        <v>274</v>
      </c>
      <c r="G235" s="122">
        <v>2</v>
      </c>
      <c r="H235" s="122">
        <v>2</v>
      </c>
      <c r="I235" s="126">
        <v>606.79999999999995</v>
      </c>
      <c r="J235" s="126">
        <v>525.79999999999995</v>
      </c>
      <c r="K235" s="126">
        <v>525.79999999999995</v>
      </c>
      <c r="L235" s="124">
        <v>29</v>
      </c>
      <c r="M235" s="122" t="s">
        <v>272</v>
      </c>
      <c r="N235" s="122" t="s">
        <v>276</v>
      </c>
      <c r="O235" s="125" t="s">
        <v>753</v>
      </c>
      <c r="P235" s="126">
        <v>2666187.4300000002</v>
      </c>
      <c r="Q235" s="126">
        <v>0</v>
      </c>
      <c r="R235" s="126">
        <v>0</v>
      </c>
      <c r="S235" s="126">
        <f t="shared" si="20"/>
        <v>2666187.4300000002</v>
      </c>
      <c r="T235" s="126">
        <f t="shared" si="14"/>
        <v>4393.8487640079111</v>
      </c>
      <c r="U235" s="126">
        <v>5538.5429466051419</v>
      </c>
    </row>
    <row r="236" spans="1:21" s="67" customFormat="1" ht="61.5" x14ac:dyDescent="0.9">
      <c r="A236" s="67">
        <v>1</v>
      </c>
      <c r="B236" s="118">
        <f>SUBTOTAL(103,$A$16:A236)</f>
        <v>216</v>
      </c>
      <c r="C236" s="115" t="s">
        <v>672</v>
      </c>
      <c r="D236" s="122">
        <v>1965</v>
      </c>
      <c r="E236" s="127"/>
      <c r="F236" s="127" t="s">
        <v>274</v>
      </c>
      <c r="G236" s="122">
        <v>5</v>
      </c>
      <c r="H236" s="122">
        <v>2</v>
      </c>
      <c r="I236" s="126">
        <v>2026.2</v>
      </c>
      <c r="J236" s="126">
        <v>1565.4</v>
      </c>
      <c r="K236" s="126">
        <v>1565.4</v>
      </c>
      <c r="L236" s="124">
        <v>104</v>
      </c>
      <c r="M236" s="122" t="s">
        <v>272</v>
      </c>
      <c r="N236" s="122" t="s">
        <v>276</v>
      </c>
      <c r="O236" s="125" t="s">
        <v>755</v>
      </c>
      <c r="P236" s="126">
        <v>3587039.29</v>
      </c>
      <c r="Q236" s="126">
        <v>0</v>
      </c>
      <c r="R236" s="126">
        <v>0</v>
      </c>
      <c r="S236" s="126">
        <f t="shared" si="20"/>
        <v>3587039.29</v>
      </c>
      <c r="T236" s="126">
        <f t="shared" si="14"/>
        <v>1770.3283436975619</v>
      </c>
      <c r="U236" s="126">
        <v>2231.5378047576742</v>
      </c>
    </row>
    <row r="237" spans="1:21" s="67" customFormat="1" ht="61.5" x14ac:dyDescent="0.9">
      <c r="A237" s="67">
        <v>1</v>
      </c>
      <c r="B237" s="118">
        <f>SUBTOTAL(103,$A$16:A237)</f>
        <v>217</v>
      </c>
      <c r="C237" s="115" t="s">
        <v>673</v>
      </c>
      <c r="D237" s="122">
        <v>1963</v>
      </c>
      <c r="E237" s="127"/>
      <c r="F237" s="127" t="s">
        <v>274</v>
      </c>
      <c r="G237" s="122">
        <v>2</v>
      </c>
      <c r="H237" s="122">
        <v>1</v>
      </c>
      <c r="I237" s="126">
        <v>429.2</v>
      </c>
      <c r="J237" s="126">
        <v>388.96</v>
      </c>
      <c r="K237" s="126">
        <v>388.96</v>
      </c>
      <c r="L237" s="124">
        <v>13</v>
      </c>
      <c r="M237" s="122" t="s">
        <v>272</v>
      </c>
      <c r="N237" s="122" t="s">
        <v>276</v>
      </c>
      <c r="O237" s="125" t="s">
        <v>756</v>
      </c>
      <c r="P237" s="126">
        <v>2302129.7000000002</v>
      </c>
      <c r="Q237" s="126">
        <v>0</v>
      </c>
      <c r="R237" s="126">
        <v>0</v>
      </c>
      <c r="S237" s="126">
        <f t="shared" si="20"/>
        <v>2302129.7000000002</v>
      </c>
      <c r="T237" s="126">
        <f t="shared" si="14"/>
        <v>5363.7691053122089</v>
      </c>
      <c r="U237" s="126">
        <v>6761.1488816402616</v>
      </c>
    </row>
    <row r="238" spans="1:21" s="67" customFormat="1" ht="61.5" x14ac:dyDescent="0.9">
      <c r="A238" s="67">
        <v>1</v>
      </c>
      <c r="B238" s="118">
        <f>SUBTOTAL(103,$A$16:A238)</f>
        <v>218</v>
      </c>
      <c r="C238" s="115" t="s">
        <v>674</v>
      </c>
      <c r="D238" s="122">
        <v>1987</v>
      </c>
      <c r="E238" s="127"/>
      <c r="F238" s="127" t="s">
        <v>274</v>
      </c>
      <c r="G238" s="122">
        <v>9</v>
      </c>
      <c r="H238" s="122">
        <v>2</v>
      </c>
      <c r="I238" s="126">
        <v>7472.7</v>
      </c>
      <c r="J238" s="126">
        <v>7472.7</v>
      </c>
      <c r="K238" s="126">
        <v>7472.7</v>
      </c>
      <c r="L238" s="124">
        <v>180</v>
      </c>
      <c r="M238" s="122" t="s">
        <v>272</v>
      </c>
      <c r="N238" s="122" t="s">
        <v>291</v>
      </c>
      <c r="O238" s="125" t="s">
        <v>275</v>
      </c>
      <c r="P238" s="126">
        <v>2248303</v>
      </c>
      <c r="Q238" s="126">
        <v>0</v>
      </c>
      <c r="R238" s="126">
        <v>0</v>
      </c>
      <c r="S238" s="126">
        <f t="shared" si="20"/>
        <v>2248303</v>
      </c>
      <c r="T238" s="126">
        <f t="shared" si="14"/>
        <v>300.86889611519263</v>
      </c>
      <c r="U238" s="126">
        <v>300.86889611519263</v>
      </c>
    </row>
    <row r="239" spans="1:21" s="67" customFormat="1" ht="61.5" x14ac:dyDescent="0.9">
      <c r="A239" s="67">
        <v>1</v>
      </c>
      <c r="B239" s="118">
        <f>SUBTOTAL(103,$A$16:A239)</f>
        <v>219</v>
      </c>
      <c r="C239" s="115" t="s">
        <v>676</v>
      </c>
      <c r="D239" s="122">
        <v>1917</v>
      </c>
      <c r="E239" s="127"/>
      <c r="F239" s="127" t="s">
        <v>274</v>
      </c>
      <c r="G239" s="122">
        <v>2</v>
      </c>
      <c r="H239" s="122">
        <v>1</v>
      </c>
      <c r="I239" s="126">
        <v>237.3</v>
      </c>
      <c r="J239" s="126">
        <v>207.2</v>
      </c>
      <c r="K239" s="126">
        <v>207.2</v>
      </c>
      <c r="L239" s="124">
        <v>13</v>
      </c>
      <c r="M239" s="122" t="s">
        <v>272</v>
      </c>
      <c r="N239" s="122" t="s">
        <v>273</v>
      </c>
      <c r="O239" s="125" t="s">
        <v>275</v>
      </c>
      <c r="P239" s="126">
        <v>1284909.6000000001</v>
      </c>
      <c r="Q239" s="126">
        <v>0</v>
      </c>
      <c r="R239" s="126">
        <v>0</v>
      </c>
      <c r="S239" s="126">
        <f t="shared" si="20"/>
        <v>1284909.6000000001</v>
      </c>
      <c r="T239" s="126">
        <f t="shared" si="14"/>
        <v>5414.7054361567634</v>
      </c>
      <c r="U239" s="126">
        <v>6825.355246523387</v>
      </c>
    </row>
    <row r="240" spans="1:21" s="67" customFormat="1" ht="61.5" x14ac:dyDescent="0.9">
      <c r="A240" s="67">
        <v>1</v>
      </c>
      <c r="B240" s="118">
        <f>SUBTOTAL(103,$A$16:A240)</f>
        <v>220</v>
      </c>
      <c r="C240" s="115" t="s">
        <v>680</v>
      </c>
      <c r="D240" s="122">
        <v>1972</v>
      </c>
      <c r="E240" s="127"/>
      <c r="F240" s="127" t="s">
        <v>274</v>
      </c>
      <c r="G240" s="122">
        <v>5</v>
      </c>
      <c r="H240" s="122">
        <v>1</v>
      </c>
      <c r="I240" s="126">
        <v>1651.99</v>
      </c>
      <c r="J240" s="126">
        <v>1219.19</v>
      </c>
      <c r="K240" s="126">
        <v>1219.19</v>
      </c>
      <c r="L240" s="124">
        <v>231</v>
      </c>
      <c r="M240" s="122" t="s">
        <v>272</v>
      </c>
      <c r="N240" s="122" t="s">
        <v>351</v>
      </c>
      <c r="O240" s="125" t="s">
        <v>757</v>
      </c>
      <c r="P240" s="126">
        <v>2894691.35</v>
      </c>
      <c r="Q240" s="126">
        <v>0</v>
      </c>
      <c r="R240" s="126">
        <v>0</v>
      </c>
      <c r="S240" s="126">
        <f t="shared" si="20"/>
        <v>2894691.35</v>
      </c>
      <c r="T240" s="126">
        <f t="shared" si="14"/>
        <v>1752.2450801760301</v>
      </c>
      <c r="U240" s="126">
        <v>2208.4134540765986</v>
      </c>
    </row>
    <row r="241" spans="1:21" s="67" customFormat="1" ht="61.5" x14ac:dyDescent="0.9">
      <c r="A241" s="67">
        <v>1</v>
      </c>
      <c r="B241" s="118">
        <f>SUBTOTAL(103,$A$16:A241)</f>
        <v>221</v>
      </c>
      <c r="C241" s="115" t="s">
        <v>1172</v>
      </c>
      <c r="D241" s="122">
        <v>1965</v>
      </c>
      <c r="E241" s="127"/>
      <c r="F241" s="127" t="s">
        <v>274</v>
      </c>
      <c r="G241" s="122">
        <v>5</v>
      </c>
      <c r="H241" s="122">
        <v>4</v>
      </c>
      <c r="I241" s="126">
        <v>3471.4</v>
      </c>
      <c r="J241" s="126">
        <v>3417.4</v>
      </c>
      <c r="K241" s="126">
        <v>3143.9</v>
      </c>
      <c r="L241" s="124">
        <v>208</v>
      </c>
      <c r="M241" s="122" t="s">
        <v>272</v>
      </c>
      <c r="N241" s="122" t="s">
        <v>276</v>
      </c>
      <c r="O241" s="125" t="s">
        <v>755</v>
      </c>
      <c r="P241" s="126">
        <v>4819128.8400000008</v>
      </c>
      <c r="Q241" s="126">
        <v>0</v>
      </c>
      <c r="R241" s="126">
        <v>0</v>
      </c>
      <c r="S241" s="126">
        <f t="shared" si="20"/>
        <v>4819128.8400000008</v>
      </c>
      <c r="T241" s="126">
        <f t="shared" si="14"/>
        <v>1388.237840640664</v>
      </c>
      <c r="U241" s="126">
        <v>1749.6436596185977</v>
      </c>
    </row>
    <row r="242" spans="1:21" s="67" customFormat="1" ht="61.5" x14ac:dyDescent="0.9">
      <c r="A242" s="67">
        <v>1</v>
      </c>
      <c r="B242" s="118">
        <f>SUBTOTAL(103,$A$16:A242)</f>
        <v>222</v>
      </c>
      <c r="C242" s="115" t="s">
        <v>1263</v>
      </c>
      <c r="D242" s="122" t="s">
        <v>1411</v>
      </c>
      <c r="E242" s="127"/>
      <c r="F242" s="127" t="s">
        <v>321</v>
      </c>
      <c r="G242" s="122" t="s">
        <v>369</v>
      </c>
      <c r="H242" s="122" t="s">
        <v>313</v>
      </c>
      <c r="I242" s="126">
        <v>4238.3</v>
      </c>
      <c r="J242" s="126">
        <v>3715.7</v>
      </c>
      <c r="K242" s="126">
        <v>3797</v>
      </c>
      <c r="L242" s="124">
        <v>139</v>
      </c>
      <c r="M242" s="122" t="s">
        <v>272</v>
      </c>
      <c r="N242" s="122" t="s">
        <v>276</v>
      </c>
      <c r="O242" s="125" t="s">
        <v>1412</v>
      </c>
      <c r="P242" s="126">
        <v>1088632.3299999998</v>
      </c>
      <c r="Q242" s="126">
        <v>0</v>
      </c>
      <c r="R242" s="126">
        <v>0</v>
      </c>
      <c r="S242" s="126">
        <f t="shared" si="20"/>
        <v>1088632.3299999998</v>
      </c>
      <c r="T242" s="126">
        <f t="shared" si="14"/>
        <v>256.85589269282491</v>
      </c>
      <c r="U242" s="126">
        <v>860.62857395653919</v>
      </c>
    </row>
    <row r="243" spans="1:21" s="67" customFormat="1" ht="61.5" x14ac:dyDescent="0.9">
      <c r="A243" s="67">
        <v>1</v>
      </c>
      <c r="B243" s="118">
        <f>SUBTOTAL(103,$A$16:A243)</f>
        <v>223</v>
      </c>
      <c r="C243" s="115" t="s">
        <v>1264</v>
      </c>
      <c r="D243" s="122">
        <v>1954</v>
      </c>
      <c r="E243" s="127"/>
      <c r="F243" s="127" t="s">
        <v>274</v>
      </c>
      <c r="G243" s="122" t="s">
        <v>363</v>
      </c>
      <c r="H243" s="122" t="s">
        <v>318</v>
      </c>
      <c r="I243" s="126">
        <v>419</v>
      </c>
      <c r="J243" s="126">
        <v>371</v>
      </c>
      <c r="K243" s="126">
        <v>371</v>
      </c>
      <c r="L243" s="124">
        <v>20</v>
      </c>
      <c r="M243" s="122" t="s">
        <v>272</v>
      </c>
      <c r="N243" s="122" t="s">
        <v>273</v>
      </c>
      <c r="O243" s="125" t="s">
        <v>275</v>
      </c>
      <c r="P243" s="126">
        <v>3019209.8200000003</v>
      </c>
      <c r="Q243" s="126">
        <v>0</v>
      </c>
      <c r="R243" s="126">
        <v>0</v>
      </c>
      <c r="S243" s="126">
        <f t="shared" si="20"/>
        <v>3019209.8200000003</v>
      </c>
      <c r="T243" s="126">
        <f t="shared" si="14"/>
        <v>7205.7513603818625</v>
      </c>
      <c r="U243" s="126">
        <v>7557.3336515513129</v>
      </c>
    </row>
    <row r="244" spans="1:21" s="67" customFormat="1" ht="61.5" x14ac:dyDescent="0.9">
      <c r="A244" s="67">
        <v>1</v>
      </c>
      <c r="B244" s="118">
        <f>SUBTOTAL(103,$A$16:A244)</f>
        <v>224</v>
      </c>
      <c r="C244" s="115" t="s">
        <v>1265</v>
      </c>
      <c r="D244" s="122" t="s">
        <v>319</v>
      </c>
      <c r="E244" s="127"/>
      <c r="F244" s="127" t="s">
        <v>274</v>
      </c>
      <c r="G244" s="122" t="s">
        <v>322</v>
      </c>
      <c r="H244" s="122" t="s">
        <v>313</v>
      </c>
      <c r="I244" s="126">
        <v>1681.3</v>
      </c>
      <c r="J244" s="126">
        <v>1080.3</v>
      </c>
      <c r="K244" s="126">
        <v>880.4</v>
      </c>
      <c r="L244" s="124">
        <v>62</v>
      </c>
      <c r="M244" s="122" t="s">
        <v>272</v>
      </c>
      <c r="N244" s="122" t="s">
        <v>276</v>
      </c>
      <c r="O244" s="125" t="s">
        <v>1413</v>
      </c>
      <c r="P244" s="126">
        <v>2908017.85</v>
      </c>
      <c r="Q244" s="126">
        <v>0</v>
      </c>
      <c r="R244" s="126">
        <v>0</v>
      </c>
      <c r="S244" s="126">
        <f t="shared" si="20"/>
        <v>2908017.85</v>
      </c>
      <c r="T244" s="126">
        <f t="shared" si="14"/>
        <v>1729.6246059596742</v>
      </c>
      <c r="U244" s="126">
        <v>2263.2776305239991</v>
      </c>
    </row>
    <row r="245" spans="1:21" s="67" customFormat="1" ht="61.5" x14ac:dyDescent="0.9">
      <c r="A245" s="67">
        <v>1</v>
      </c>
      <c r="B245" s="118">
        <f>SUBTOTAL(103,$A$16:A245)</f>
        <v>225</v>
      </c>
      <c r="C245" s="115" t="s">
        <v>1266</v>
      </c>
      <c r="D245" s="122">
        <v>1959</v>
      </c>
      <c r="E245" s="127"/>
      <c r="F245" s="127" t="s">
        <v>274</v>
      </c>
      <c r="G245" s="122">
        <v>5</v>
      </c>
      <c r="H245" s="122">
        <v>5</v>
      </c>
      <c r="I245" s="126">
        <v>4642.6499999999996</v>
      </c>
      <c r="J245" s="126">
        <v>4206.49</v>
      </c>
      <c r="K245" s="126">
        <v>3767.59</v>
      </c>
      <c r="L245" s="124">
        <v>111</v>
      </c>
      <c r="M245" s="122" t="s">
        <v>272</v>
      </c>
      <c r="N245" s="122" t="s">
        <v>276</v>
      </c>
      <c r="O245" s="125" t="s">
        <v>1414</v>
      </c>
      <c r="P245" s="126">
        <v>9352682.2400000002</v>
      </c>
      <c r="Q245" s="126">
        <v>0</v>
      </c>
      <c r="R245" s="126">
        <v>0</v>
      </c>
      <c r="S245" s="126">
        <f t="shared" si="20"/>
        <v>9352682.2400000002</v>
      </c>
      <c r="T245" s="126">
        <f t="shared" si="14"/>
        <v>2014.5137453824866</v>
      </c>
      <c r="U245" s="126">
        <v>2398.4449613905854</v>
      </c>
    </row>
    <row r="246" spans="1:21" s="67" customFormat="1" ht="61.5" x14ac:dyDescent="0.9">
      <c r="A246" s="67">
        <v>1</v>
      </c>
      <c r="B246" s="118">
        <f>SUBTOTAL(103,$A$16:A246)</f>
        <v>226</v>
      </c>
      <c r="C246" s="115" t="s">
        <v>1267</v>
      </c>
      <c r="D246" s="122">
        <v>1956</v>
      </c>
      <c r="E246" s="127"/>
      <c r="F246" s="127" t="s">
        <v>274</v>
      </c>
      <c r="G246" s="122">
        <v>2</v>
      </c>
      <c r="H246" s="122">
        <v>2</v>
      </c>
      <c r="I246" s="126">
        <v>471.5</v>
      </c>
      <c r="J246" s="126">
        <v>326.5</v>
      </c>
      <c r="K246" s="126">
        <v>326.5</v>
      </c>
      <c r="L246" s="124">
        <v>24</v>
      </c>
      <c r="M246" s="122" t="s">
        <v>272</v>
      </c>
      <c r="N246" s="122" t="s">
        <v>276</v>
      </c>
      <c r="O246" s="125" t="s">
        <v>756</v>
      </c>
      <c r="P246" s="126">
        <v>1815587.49</v>
      </c>
      <c r="Q246" s="126">
        <v>0</v>
      </c>
      <c r="R246" s="126">
        <v>0</v>
      </c>
      <c r="S246" s="126">
        <f t="shared" si="20"/>
        <v>1815587.49</v>
      </c>
      <c r="T246" s="126">
        <f t="shared" si="14"/>
        <v>3850.6627571580061</v>
      </c>
      <c r="U246" s="126">
        <v>12726.533840933193</v>
      </c>
    </row>
    <row r="247" spans="1:21" s="67" customFormat="1" ht="61.5" x14ac:dyDescent="0.9">
      <c r="A247" s="67">
        <v>1</v>
      </c>
      <c r="B247" s="118">
        <f>SUBTOTAL(103,$A$16:A247)</f>
        <v>227</v>
      </c>
      <c r="C247" s="115" t="s">
        <v>1268</v>
      </c>
      <c r="D247" s="122">
        <v>1978</v>
      </c>
      <c r="E247" s="127"/>
      <c r="F247" s="127" t="s">
        <v>274</v>
      </c>
      <c r="G247" s="122">
        <v>9</v>
      </c>
      <c r="H247" s="122">
        <v>7</v>
      </c>
      <c r="I247" s="126">
        <v>12895.2</v>
      </c>
      <c r="J247" s="126">
        <v>12862.3</v>
      </c>
      <c r="K247" s="126">
        <v>12862.3</v>
      </c>
      <c r="L247" s="124">
        <v>495</v>
      </c>
      <c r="M247" s="122" t="s">
        <v>272</v>
      </c>
      <c r="N247" s="122" t="s">
        <v>276</v>
      </c>
      <c r="O247" s="125" t="s">
        <v>1414</v>
      </c>
      <c r="P247" s="126">
        <v>4245928.87</v>
      </c>
      <c r="Q247" s="126">
        <v>0</v>
      </c>
      <c r="R247" s="126">
        <v>0</v>
      </c>
      <c r="S247" s="126">
        <f t="shared" si="20"/>
        <v>4245928.87</v>
      </c>
      <c r="T247" s="126">
        <f t="shared" si="14"/>
        <v>329.26428981326382</v>
      </c>
      <c r="U247" s="126">
        <v>997.74712334822254</v>
      </c>
    </row>
    <row r="248" spans="1:21" s="67" customFormat="1" ht="61.5" x14ac:dyDescent="0.9">
      <c r="A248" s="67">
        <v>1</v>
      </c>
      <c r="B248" s="118">
        <f>SUBTOTAL(103,$A$16:A248)</f>
        <v>228</v>
      </c>
      <c r="C248" s="115" t="s">
        <v>1269</v>
      </c>
      <c r="D248" s="122">
        <v>1965</v>
      </c>
      <c r="E248" s="127"/>
      <c r="F248" s="127" t="s">
        <v>321</v>
      </c>
      <c r="G248" s="122">
        <v>4</v>
      </c>
      <c r="H248" s="122">
        <v>4</v>
      </c>
      <c r="I248" s="126">
        <v>3085.29</v>
      </c>
      <c r="J248" s="126">
        <v>2825.59</v>
      </c>
      <c r="K248" s="126">
        <v>2825.59</v>
      </c>
      <c r="L248" s="124">
        <v>129</v>
      </c>
      <c r="M248" s="122" t="s">
        <v>272</v>
      </c>
      <c r="N248" s="122" t="s">
        <v>276</v>
      </c>
      <c r="O248" s="125" t="s">
        <v>1415</v>
      </c>
      <c r="P248" s="126">
        <v>4667646.4800000004</v>
      </c>
      <c r="Q248" s="126">
        <v>0</v>
      </c>
      <c r="R248" s="126">
        <v>0</v>
      </c>
      <c r="S248" s="126">
        <f t="shared" si="20"/>
        <v>4667646.4800000004</v>
      </c>
      <c r="T248" s="126">
        <f t="shared" si="14"/>
        <v>1512.8712309053608</v>
      </c>
      <c r="U248" s="126">
        <v>4602.3527629493501</v>
      </c>
    </row>
    <row r="249" spans="1:21" s="67" customFormat="1" ht="61.5" x14ac:dyDescent="0.9">
      <c r="A249" s="67">
        <v>1</v>
      </c>
      <c r="B249" s="118">
        <f>SUBTOTAL(103,$A$16:A249)</f>
        <v>229</v>
      </c>
      <c r="C249" s="115" t="s">
        <v>1273</v>
      </c>
      <c r="D249" s="122">
        <v>1982</v>
      </c>
      <c r="E249" s="127"/>
      <c r="F249" s="127" t="s">
        <v>274</v>
      </c>
      <c r="G249" s="122">
        <v>9</v>
      </c>
      <c r="H249" s="122">
        <v>2</v>
      </c>
      <c r="I249" s="126">
        <v>5661.18</v>
      </c>
      <c r="J249" s="126">
        <v>4065</v>
      </c>
      <c r="K249" s="126">
        <v>4064.58</v>
      </c>
      <c r="L249" s="124">
        <v>149</v>
      </c>
      <c r="M249" s="122" t="s">
        <v>272</v>
      </c>
      <c r="N249" s="122" t="s">
        <v>276</v>
      </c>
      <c r="O249" s="125" t="s">
        <v>755</v>
      </c>
      <c r="P249" s="126">
        <v>2596982.2399999998</v>
      </c>
      <c r="Q249" s="126">
        <v>0</v>
      </c>
      <c r="R249" s="126">
        <v>0</v>
      </c>
      <c r="S249" s="126">
        <f t="shared" si="20"/>
        <v>2596982.2399999998</v>
      </c>
      <c r="T249" s="126">
        <f t="shared" si="14"/>
        <v>458.73514708947596</v>
      </c>
      <c r="U249" s="126">
        <v>502.65999999999997</v>
      </c>
    </row>
    <row r="250" spans="1:21" s="67" customFormat="1" ht="61.5" x14ac:dyDescent="0.9">
      <c r="A250" s="67">
        <v>1</v>
      </c>
      <c r="B250" s="118">
        <f>SUBTOTAL(103,$A$16:A250)</f>
        <v>230</v>
      </c>
      <c r="C250" s="115" t="s">
        <v>1274</v>
      </c>
      <c r="D250" s="122">
        <v>1978</v>
      </c>
      <c r="E250" s="127"/>
      <c r="F250" s="127" t="s">
        <v>274</v>
      </c>
      <c r="G250" s="122">
        <v>5</v>
      </c>
      <c r="H250" s="122">
        <v>6</v>
      </c>
      <c r="I250" s="126">
        <v>6106.27</v>
      </c>
      <c r="J250" s="126">
        <v>4494</v>
      </c>
      <c r="K250" s="126">
        <v>4493.7700000000004</v>
      </c>
      <c r="L250" s="124">
        <v>207</v>
      </c>
      <c r="M250" s="122" t="s">
        <v>272</v>
      </c>
      <c r="N250" s="122" t="s">
        <v>276</v>
      </c>
      <c r="O250" s="125" t="s">
        <v>755</v>
      </c>
      <c r="P250" s="126">
        <v>5481847.6600000001</v>
      </c>
      <c r="Q250" s="126">
        <v>0</v>
      </c>
      <c r="R250" s="126">
        <v>0</v>
      </c>
      <c r="S250" s="126">
        <f t="shared" si="20"/>
        <v>5481847.6600000001</v>
      </c>
      <c r="T250" s="126">
        <f t="shared" si="14"/>
        <v>897.74079102299766</v>
      </c>
      <c r="U250" s="126">
        <v>1447.7949222684222</v>
      </c>
    </row>
    <row r="251" spans="1:21" s="67" customFormat="1" ht="61.5" x14ac:dyDescent="0.9">
      <c r="A251" s="67">
        <v>1</v>
      </c>
      <c r="B251" s="118">
        <f>SUBTOTAL(103,$A$16:A251)</f>
        <v>231</v>
      </c>
      <c r="C251" s="115" t="s">
        <v>1275</v>
      </c>
      <c r="D251" s="122">
        <v>1905</v>
      </c>
      <c r="E251" s="127"/>
      <c r="F251" s="127" t="s">
        <v>340</v>
      </c>
      <c r="G251" s="122">
        <v>2</v>
      </c>
      <c r="H251" s="122">
        <v>2</v>
      </c>
      <c r="I251" s="126">
        <v>1065.5</v>
      </c>
      <c r="J251" s="126">
        <v>510.7</v>
      </c>
      <c r="K251" s="126">
        <v>510.7</v>
      </c>
      <c r="L251" s="124">
        <v>18</v>
      </c>
      <c r="M251" s="122" t="s">
        <v>272</v>
      </c>
      <c r="N251" s="122" t="s">
        <v>276</v>
      </c>
      <c r="O251" s="125" t="s">
        <v>1413</v>
      </c>
      <c r="P251" s="126">
        <v>1562740.68</v>
      </c>
      <c r="Q251" s="126">
        <v>0</v>
      </c>
      <c r="R251" s="126">
        <v>0</v>
      </c>
      <c r="S251" s="126">
        <f t="shared" si="20"/>
        <v>1562740.68</v>
      </c>
      <c r="T251" s="126">
        <f t="shared" si="14"/>
        <v>1466.6735617081181</v>
      </c>
      <c r="U251" s="126">
        <v>8911.6543219145933</v>
      </c>
    </row>
    <row r="252" spans="1:21" s="67" customFormat="1" ht="61.5" x14ac:dyDescent="0.9">
      <c r="A252" s="67">
        <v>1</v>
      </c>
      <c r="B252" s="118">
        <f>SUBTOTAL(103,$A$16:A252)</f>
        <v>232</v>
      </c>
      <c r="C252" s="115" t="s">
        <v>1276</v>
      </c>
      <c r="D252" s="122">
        <v>1937</v>
      </c>
      <c r="E252" s="127"/>
      <c r="F252" s="127" t="s">
        <v>274</v>
      </c>
      <c r="G252" s="122">
        <v>3</v>
      </c>
      <c r="H252" s="122">
        <v>2</v>
      </c>
      <c r="I252" s="126">
        <v>1633.4</v>
      </c>
      <c r="J252" s="126">
        <v>1633.4</v>
      </c>
      <c r="K252" s="126">
        <v>1485.5</v>
      </c>
      <c r="L252" s="124">
        <v>51</v>
      </c>
      <c r="M252" s="122" t="s">
        <v>272</v>
      </c>
      <c r="N252" s="122" t="s">
        <v>291</v>
      </c>
      <c r="O252" s="125" t="s">
        <v>275</v>
      </c>
      <c r="P252" s="126">
        <v>3621850.1999999997</v>
      </c>
      <c r="Q252" s="126">
        <v>0</v>
      </c>
      <c r="R252" s="126">
        <v>0</v>
      </c>
      <c r="S252" s="126">
        <f t="shared" si="20"/>
        <v>3621850.1999999997</v>
      </c>
      <c r="T252" s="126">
        <f t="shared" si="14"/>
        <v>2217.3688012734169</v>
      </c>
      <c r="U252" s="126">
        <v>3226.7865617729885</v>
      </c>
    </row>
    <row r="253" spans="1:21" s="67" customFormat="1" ht="61.5" x14ac:dyDescent="0.9">
      <c r="A253" s="67">
        <v>1</v>
      </c>
      <c r="B253" s="118">
        <f>SUBTOTAL(103,$A$16:A253)</f>
        <v>233</v>
      </c>
      <c r="C253" s="115" t="s">
        <v>1277</v>
      </c>
      <c r="D253" s="122">
        <v>1973</v>
      </c>
      <c r="E253" s="127"/>
      <c r="F253" s="127" t="s">
        <v>274</v>
      </c>
      <c r="G253" s="122">
        <v>5</v>
      </c>
      <c r="H253" s="122">
        <v>6</v>
      </c>
      <c r="I253" s="126">
        <v>4829.54</v>
      </c>
      <c r="J253" s="126">
        <v>4363.6400000000003</v>
      </c>
      <c r="K253" s="126">
        <v>4363.6400000000003</v>
      </c>
      <c r="L253" s="124">
        <v>198</v>
      </c>
      <c r="M253" s="122" t="s">
        <v>272</v>
      </c>
      <c r="N253" s="122" t="s">
        <v>276</v>
      </c>
      <c r="O253" s="125" t="s">
        <v>753</v>
      </c>
      <c r="P253" s="126">
        <v>7140948.1100000003</v>
      </c>
      <c r="Q253" s="126">
        <v>0</v>
      </c>
      <c r="R253" s="126">
        <v>0</v>
      </c>
      <c r="S253" s="126">
        <f t="shared" si="20"/>
        <v>7140948.1100000003</v>
      </c>
      <c r="T253" s="126">
        <f t="shared" si="14"/>
        <v>1478.5979844871356</v>
      </c>
      <c r="U253" s="126">
        <v>1726.708537251995</v>
      </c>
    </row>
    <row r="254" spans="1:21" s="67" customFormat="1" ht="61.5" x14ac:dyDescent="0.9">
      <c r="A254" s="67">
        <v>1</v>
      </c>
      <c r="B254" s="118">
        <f>SUBTOTAL(103,$A$16:A254)</f>
        <v>234</v>
      </c>
      <c r="C254" s="115" t="s">
        <v>1278</v>
      </c>
      <c r="D254" s="122">
        <v>1957</v>
      </c>
      <c r="E254" s="127"/>
      <c r="F254" s="127" t="s">
        <v>274</v>
      </c>
      <c r="G254" s="122">
        <v>2</v>
      </c>
      <c r="H254" s="122">
        <v>2</v>
      </c>
      <c r="I254" s="126">
        <v>497.1</v>
      </c>
      <c r="J254" s="126">
        <v>442.9</v>
      </c>
      <c r="K254" s="126">
        <v>442.9</v>
      </c>
      <c r="L254" s="124">
        <v>20</v>
      </c>
      <c r="M254" s="122" t="s">
        <v>272</v>
      </c>
      <c r="N254" s="122" t="s">
        <v>276</v>
      </c>
      <c r="O254" s="125" t="s">
        <v>1413</v>
      </c>
      <c r="P254" s="126">
        <v>732022.04</v>
      </c>
      <c r="Q254" s="126">
        <v>0</v>
      </c>
      <c r="R254" s="126">
        <v>0</v>
      </c>
      <c r="S254" s="126">
        <f t="shared" si="20"/>
        <v>732022.04</v>
      </c>
      <c r="T254" s="126">
        <f t="shared" si="14"/>
        <v>1472.58507342587</v>
      </c>
      <c r="U254" s="126">
        <v>2928.86</v>
      </c>
    </row>
    <row r="255" spans="1:21" s="67" customFormat="1" ht="61.5" x14ac:dyDescent="0.9">
      <c r="A255" s="67">
        <v>1</v>
      </c>
      <c r="B255" s="118">
        <f>SUBTOTAL(103,$A$16:A255)</f>
        <v>235</v>
      </c>
      <c r="C255" s="115" t="s">
        <v>1279</v>
      </c>
      <c r="D255" s="122">
        <v>1967</v>
      </c>
      <c r="E255" s="127"/>
      <c r="F255" s="127" t="s">
        <v>274</v>
      </c>
      <c r="G255" s="122">
        <v>5</v>
      </c>
      <c r="H255" s="122">
        <v>4</v>
      </c>
      <c r="I255" s="126">
        <v>5485.29</v>
      </c>
      <c r="J255" s="126">
        <v>3346.19</v>
      </c>
      <c r="K255" s="126">
        <v>3346.19</v>
      </c>
      <c r="L255" s="124">
        <v>139</v>
      </c>
      <c r="M255" s="122" t="s">
        <v>272</v>
      </c>
      <c r="N255" s="122" t="s">
        <v>276</v>
      </c>
      <c r="O255" s="125" t="s">
        <v>1413</v>
      </c>
      <c r="P255" s="126">
        <v>5959799.2299999995</v>
      </c>
      <c r="Q255" s="126">
        <v>0</v>
      </c>
      <c r="R255" s="126">
        <v>0</v>
      </c>
      <c r="S255" s="126">
        <f t="shared" si="20"/>
        <v>5959799.2299999995</v>
      </c>
      <c r="T255" s="126">
        <f t="shared" si="14"/>
        <v>1086.5057690659928</v>
      </c>
      <c r="U255" s="126">
        <v>1665.1046934072767</v>
      </c>
    </row>
    <row r="256" spans="1:21" s="67" customFormat="1" ht="61.5" x14ac:dyDescent="0.9">
      <c r="A256" s="67">
        <v>1</v>
      </c>
      <c r="B256" s="118">
        <f>SUBTOTAL(103,$A$16:A256)</f>
        <v>236</v>
      </c>
      <c r="C256" s="115" t="s">
        <v>1280</v>
      </c>
      <c r="D256" s="122">
        <v>1990</v>
      </c>
      <c r="E256" s="127"/>
      <c r="F256" s="127" t="s">
        <v>274</v>
      </c>
      <c r="G256" s="122">
        <v>2</v>
      </c>
      <c r="H256" s="122">
        <v>2</v>
      </c>
      <c r="I256" s="126">
        <v>568.29999999999995</v>
      </c>
      <c r="J256" s="126">
        <v>317</v>
      </c>
      <c r="K256" s="126">
        <v>257.10000000000002</v>
      </c>
      <c r="L256" s="124">
        <v>31</v>
      </c>
      <c r="M256" s="122" t="s">
        <v>272</v>
      </c>
      <c r="N256" s="122" t="s">
        <v>273</v>
      </c>
      <c r="O256" s="125" t="s">
        <v>275</v>
      </c>
      <c r="P256" s="126">
        <v>3161127.77</v>
      </c>
      <c r="Q256" s="126">
        <v>0</v>
      </c>
      <c r="R256" s="126">
        <v>0</v>
      </c>
      <c r="S256" s="126">
        <f t="shared" si="20"/>
        <v>3161127.77</v>
      </c>
      <c r="T256" s="126">
        <f t="shared" si="14"/>
        <v>5562.4278901988391</v>
      </c>
      <c r="U256" s="126">
        <v>7125.0079183529833</v>
      </c>
    </row>
    <row r="257" spans="1:21" s="67" customFormat="1" ht="61.5" x14ac:dyDescent="0.9">
      <c r="A257" s="67">
        <v>1</v>
      </c>
      <c r="B257" s="118">
        <f>SUBTOTAL(103,$A$16:A257)</f>
        <v>237</v>
      </c>
      <c r="C257" s="115" t="s">
        <v>1457</v>
      </c>
      <c r="D257" s="122">
        <v>1970</v>
      </c>
      <c r="E257" s="127"/>
      <c r="F257" s="127" t="s">
        <v>274</v>
      </c>
      <c r="G257" s="122">
        <v>2</v>
      </c>
      <c r="H257" s="122">
        <v>2</v>
      </c>
      <c r="I257" s="126">
        <v>973.3</v>
      </c>
      <c r="J257" s="126">
        <v>527.20000000000005</v>
      </c>
      <c r="K257" s="126">
        <v>421.80000000000007</v>
      </c>
      <c r="L257" s="124">
        <v>26</v>
      </c>
      <c r="M257" s="122" t="s">
        <v>272</v>
      </c>
      <c r="N257" s="122" t="s">
        <v>276</v>
      </c>
      <c r="O257" s="125" t="s">
        <v>1160</v>
      </c>
      <c r="P257" s="126">
        <v>2499235.2800000003</v>
      </c>
      <c r="Q257" s="126">
        <v>0</v>
      </c>
      <c r="R257" s="126">
        <v>0</v>
      </c>
      <c r="S257" s="126">
        <f t="shared" si="20"/>
        <v>2499235.2800000003</v>
      </c>
      <c r="T257" s="126">
        <f t="shared" si="14"/>
        <v>2567.7954176512899</v>
      </c>
      <c r="U257" s="126">
        <v>3045.4889562313779</v>
      </c>
    </row>
    <row r="258" spans="1:21" s="67" customFormat="1" ht="61.5" x14ac:dyDescent="0.9">
      <c r="A258" s="67">
        <v>1</v>
      </c>
      <c r="B258" s="118">
        <f>SUBTOTAL(103,$A$16:A258)</f>
        <v>238</v>
      </c>
      <c r="C258" s="115" t="s">
        <v>1456</v>
      </c>
      <c r="D258" s="122">
        <v>1984</v>
      </c>
      <c r="E258" s="127"/>
      <c r="F258" s="127" t="s">
        <v>328</v>
      </c>
      <c r="G258" s="122">
        <v>2</v>
      </c>
      <c r="H258" s="122">
        <v>2</v>
      </c>
      <c r="I258" s="126">
        <v>622.79999999999995</v>
      </c>
      <c r="J258" s="126">
        <v>560.29999999999995</v>
      </c>
      <c r="K258" s="126">
        <v>468.99999999999994</v>
      </c>
      <c r="L258" s="124">
        <v>31</v>
      </c>
      <c r="M258" s="122" t="s">
        <v>272</v>
      </c>
      <c r="N258" s="122" t="s">
        <v>276</v>
      </c>
      <c r="O258" s="125" t="s">
        <v>1414</v>
      </c>
      <c r="P258" s="126">
        <v>2958754.75</v>
      </c>
      <c r="Q258" s="126">
        <v>0</v>
      </c>
      <c r="R258" s="126">
        <v>0</v>
      </c>
      <c r="S258" s="126">
        <f t="shared" si="20"/>
        <v>2958754.75</v>
      </c>
      <c r="T258" s="126">
        <f t="shared" si="14"/>
        <v>4750.7301701991009</v>
      </c>
      <c r="U258" s="126">
        <v>5682.5386631342326</v>
      </c>
    </row>
    <row r="259" spans="1:21" s="67" customFormat="1" ht="61.5" x14ac:dyDescent="0.9">
      <c r="A259" s="67">
        <v>1</v>
      </c>
      <c r="B259" s="118">
        <f>SUBTOTAL(103,$A$16:A259)</f>
        <v>239</v>
      </c>
      <c r="C259" s="115" t="s">
        <v>1477</v>
      </c>
      <c r="D259" s="122">
        <v>1993</v>
      </c>
      <c r="E259" s="127"/>
      <c r="F259" s="127" t="s">
        <v>321</v>
      </c>
      <c r="G259" s="122">
        <v>9</v>
      </c>
      <c r="H259" s="122">
        <v>6</v>
      </c>
      <c r="I259" s="126">
        <v>12243.1</v>
      </c>
      <c r="J259" s="126">
        <v>10437.700000000001</v>
      </c>
      <c r="K259" s="126">
        <v>10437.700000000001</v>
      </c>
      <c r="L259" s="124">
        <v>554</v>
      </c>
      <c r="M259" s="122" t="s">
        <v>272</v>
      </c>
      <c r="N259" s="122" t="s">
        <v>276</v>
      </c>
      <c r="O259" s="125" t="s">
        <v>1503</v>
      </c>
      <c r="P259" s="126">
        <v>11987844.51</v>
      </c>
      <c r="Q259" s="126">
        <v>0</v>
      </c>
      <c r="R259" s="126">
        <v>0</v>
      </c>
      <c r="S259" s="126">
        <f t="shared" si="20"/>
        <v>11987844.51</v>
      </c>
      <c r="T259" s="126">
        <f t="shared" si="14"/>
        <v>979.15107366598329</v>
      </c>
      <c r="U259" s="126">
        <v>1101.83</v>
      </c>
    </row>
    <row r="260" spans="1:21" s="67" customFormat="1" ht="61.5" x14ac:dyDescent="0.9">
      <c r="B260" s="115" t="s">
        <v>868</v>
      </c>
      <c r="C260" s="115"/>
      <c r="D260" s="122" t="s">
        <v>943</v>
      </c>
      <c r="E260" s="122" t="s">
        <v>943</v>
      </c>
      <c r="F260" s="122" t="s">
        <v>943</v>
      </c>
      <c r="G260" s="122" t="s">
        <v>943</v>
      </c>
      <c r="H260" s="122" t="s">
        <v>943</v>
      </c>
      <c r="I260" s="123">
        <f>SUM(I261:I267)</f>
        <v>42597.2</v>
      </c>
      <c r="J260" s="123">
        <f t="shared" ref="J260:L260" si="21">SUM(J261:J267)</f>
        <v>27019.800000000003</v>
      </c>
      <c r="K260" s="123">
        <f t="shared" si="21"/>
        <v>25949.5</v>
      </c>
      <c r="L260" s="124">
        <f t="shared" si="21"/>
        <v>1169</v>
      </c>
      <c r="M260" s="122" t="s">
        <v>943</v>
      </c>
      <c r="N260" s="122" t="s">
        <v>943</v>
      </c>
      <c r="O260" s="125" t="s">
        <v>943</v>
      </c>
      <c r="P260" s="126">
        <v>31393292.600000001</v>
      </c>
      <c r="Q260" s="126">
        <f t="shared" ref="Q260:S260" si="22">SUM(Q261:Q267)</f>
        <v>0</v>
      </c>
      <c r="R260" s="126">
        <f t="shared" si="22"/>
        <v>0</v>
      </c>
      <c r="S260" s="126">
        <f t="shared" si="22"/>
        <v>31393292.600000001</v>
      </c>
      <c r="T260" s="126">
        <f t="shared" si="14"/>
        <v>736.98019118627519</v>
      </c>
      <c r="U260" s="126">
        <f>MAX(U261:U267)</f>
        <v>3255.85</v>
      </c>
    </row>
    <row r="261" spans="1:21" s="67" customFormat="1" ht="61.5" x14ac:dyDescent="0.9">
      <c r="A261" s="67">
        <v>1</v>
      </c>
      <c r="B261" s="118">
        <f>SUBTOTAL(103,$A$16:A261)</f>
        <v>240</v>
      </c>
      <c r="C261" s="115" t="s">
        <v>681</v>
      </c>
      <c r="D261" s="122">
        <v>1981</v>
      </c>
      <c r="E261" s="127"/>
      <c r="F261" s="127" t="s">
        <v>321</v>
      </c>
      <c r="G261" s="122">
        <v>5</v>
      </c>
      <c r="H261" s="122">
        <v>7</v>
      </c>
      <c r="I261" s="126">
        <v>9132.7000000000007</v>
      </c>
      <c r="J261" s="126">
        <v>5349.7</v>
      </c>
      <c r="K261" s="126">
        <v>5077.8999999999996</v>
      </c>
      <c r="L261" s="124">
        <v>233</v>
      </c>
      <c r="M261" s="122" t="s">
        <v>272</v>
      </c>
      <c r="N261" s="122" t="s">
        <v>276</v>
      </c>
      <c r="O261" s="125" t="s">
        <v>758</v>
      </c>
      <c r="P261" s="126">
        <v>7599952.7599999998</v>
      </c>
      <c r="Q261" s="126">
        <v>0</v>
      </c>
      <c r="R261" s="126">
        <v>0</v>
      </c>
      <c r="S261" s="126">
        <f t="shared" ref="S261:S267" si="23">P261-Q261-R261</f>
        <v>7599952.7599999998</v>
      </c>
      <c r="T261" s="126">
        <f t="shared" si="14"/>
        <v>832.16932123030415</v>
      </c>
      <c r="U261" s="126">
        <v>1034.0142002584118</v>
      </c>
    </row>
    <row r="262" spans="1:21" s="67" customFormat="1" ht="61.5" x14ac:dyDescent="0.9">
      <c r="A262" s="67">
        <v>1</v>
      </c>
      <c r="B262" s="118">
        <f>SUBTOTAL(103,$A$16:A262)</f>
        <v>241</v>
      </c>
      <c r="C262" s="115" t="s">
        <v>687</v>
      </c>
      <c r="D262" s="122">
        <v>1987</v>
      </c>
      <c r="E262" s="127"/>
      <c r="F262" s="127" t="s">
        <v>274</v>
      </c>
      <c r="G262" s="122">
        <v>5</v>
      </c>
      <c r="H262" s="122">
        <v>6</v>
      </c>
      <c r="I262" s="126">
        <v>7301.9</v>
      </c>
      <c r="J262" s="126">
        <v>3931.5</v>
      </c>
      <c r="K262" s="126">
        <v>3739.7</v>
      </c>
      <c r="L262" s="124">
        <v>187</v>
      </c>
      <c r="M262" s="122" t="s">
        <v>272</v>
      </c>
      <c r="N262" s="122" t="s">
        <v>276</v>
      </c>
      <c r="O262" s="125" t="s">
        <v>758</v>
      </c>
      <c r="P262" s="126">
        <v>6343303.6499999994</v>
      </c>
      <c r="Q262" s="126">
        <v>0</v>
      </c>
      <c r="R262" s="126">
        <v>0</v>
      </c>
      <c r="S262" s="126">
        <f t="shared" si="23"/>
        <v>6343303.6499999994</v>
      </c>
      <c r="T262" s="126">
        <f t="shared" si="14"/>
        <v>868.71960037798374</v>
      </c>
      <c r="U262" s="126">
        <v>1037.4381770498089</v>
      </c>
    </row>
    <row r="263" spans="1:21" s="67" customFormat="1" ht="61.5" x14ac:dyDescent="0.9">
      <c r="A263" s="67">
        <v>1</v>
      </c>
      <c r="B263" s="118">
        <f>SUBTOTAL(103,$A$16:A263)</f>
        <v>242</v>
      </c>
      <c r="C263" s="115" t="s">
        <v>1281</v>
      </c>
      <c r="D263" s="122">
        <v>2001</v>
      </c>
      <c r="E263" s="127"/>
      <c r="F263" s="127" t="s">
        <v>274</v>
      </c>
      <c r="G263" s="122">
        <v>5</v>
      </c>
      <c r="H263" s="122">
        <v>5</v>
      </c>
      <c r="I263" s="126">
        <v>6333.9</v>
      </c>
      <c r="J263" s="126">
        <v>3627.6</v>
      </c>
      <c r="K263" s="126">
        <v>3627.6</v>
      </c>
      <c r="L263" s="124">
        <v>159</v>
      </c>
      <c r="M263" s="122" t="s">
        <v>272</v>
      </c>
      <c r="N263" s="122" t="s">
        <v>276</v>
      </c>
      <c r="O263" s="125" t="s">
        <v>758</v>
      </c>
      <c r="P263" s="126">
        <v>5003194.3900000006</v>
      </c>
      <c r="Q263" s="126">
        <v>0</v>
      </c>
      <c r="R263" s="126">
        <v>0</v>
      </c>
      <c r="S263" s="126">
        <f t="shared" si="23"/>
        <v>5003194.3900000006</v>
      </c>
      <c r="T263" s="126">
        <f t="shared" si="14"/>
        <v>789.90738565496781</v>
      </c>
      <c r="U263" s="126">
        <v>2182.5053739402265</v>
      </c>
    </row>
    <row r="264" spans="1:21" s="67" customFormat="1" ht="61.5" x14ac:dyDescent="0.9">
      <c r="A264" s="67">
        <v>1</v>
      </c>
      <c r="B264" s="118">
        <f>SUBTOTAL(103,$A$16:A264)</f>
        <v>243</v>
      </c>
      <c r="C264" s="115" t="s">
        <v>1282</v>
      </c>
      <c r="D264" s="122">
        <v>1989</v>
      </c>
      <c r="E264" s="127">
        <v>2015</v>
      </c>
      <c r="F264" s="127" t="s">
        <v>274</v>
      </c>
      <c r="G264" s="122">
        <v>9</v>
      </c>
      <c r="H264" s="122">
        <v>2</v>
      </c>
      <c r="I264" s="126">
        <v>6378.8</v>
      </c>
      <c r="J264" s="126">
        <v>3627.7</v>
      </c>
      <c r="K264" s="126">
        <v>3459.6</v>
      </c>
      <c r="L264" s="124">
        <v>186</v>
      </c>
      <c r="M264" s="122" t="s">
        <v>272</v>
      </c>
      <c r="N264" s="122" t="s">
        <v>276</v>
      </c>
      <c r="O264" s="125" t="s">
        <v>758</v>
      </c>
      <c r="P264" s="126">
        <v>3498706.87</v>
      </c>
      <c r="Q264" s="126">
        <v>0</v>
      </c>
      <c r="R264" s="126">
        <v>0</v>
      </c>
      <c r="S264" s="126">
        <f t="shared" si="23"/>
        <v>3498706.87</v>
      </c>
      <c r="T264" s="126">
        <f t="shared" si="14"/>
        <v>548.48982096946133</v>
      </c>
      <c r="U264" s="126">
        <v>3255.85</v>
      </c>
    </row>
    <row r="265" spans="1:21" s="67" customFormat="1" ht="61.5" x14ac:dyDescent="0.9">
      <c r="A265" s="67">
        <v>1</v>
      </c>
      <c r="B265" s="118">
        <f>SUBTOTAL(103,$A$16:A265)</f>
        <v>244</v>
      </c>
      <c r="C265" s="115" t="s">
        <v>1283</v>
      </c>
      <c r="D265" s="122">
        <v>1979</v>
      </c>
      <c r="E265" s="127"/>
      <c r="F265" s="127" t="s">
        <v>321</v>
      </c>
      <c r="G265" s="122">
        <v>5</v>
      </c>
      <c r="H265" s="122">
        <v>2</v>
      </c>
      <c r="I265" s="126">
        <v>2660.8</v>
      </c>
      <c r="J265" s="126">
        <v>1869.9</v>
      </c>
      <c r="K265" s="126">
        <v>1766.1</v>
      </c>
      <c r="L265" s="124">
        <v>85</v>
      </c>
      <c r="M265" s="122" t="s">
        <v>272</v>
      </c>
      <c r="N265" s="122" t="s">
        <v>276</v>
      </c>
      <c r="O265" s="125" t="s">
        <v>758</v>
      </c>
      <c r="P265" s="126">
        <v>1654766.19</v>
      </c>
      <c r="Q265" s="126">
        <v>0</v>
      </c>
      <c r="R265" s="126">
        <v>0</v>
      </c>
      <c r="S265" s="126">
        <f t="shared" si="23"/>
        <v>1654766.19</v>
      </c>
      <c r="T265" s="126">
        <f t="shared" si="14"/>
        <v>621.90551337943464</v>
      </c>
      <c r="U265" s="126">
        <v>1146.6583347113649</v>
      </c>
    </row>
    <row r="266" spans="1:21" s="67" customFormat="1" ht="61.5" x14ac:dyDescent="0.9">
      <c r="A266" s="67">
        <v>1</v>
      </c>
      <c r="B266" s="118">
        <f>SUBTOTAL(103,$A$16:A266)</f>
        <v>245</v>
      </c>
      <c r="C266" s="115" t="s">
        <v>1284</v>
      </c>
      <c r="D266" s="122">
        <v>1986</v>
      </c>
      <c r="E266" s="127"/>
      <c r="F266" s="127" t="s">
        <v>321</v>
      </c>
      <c r="G266" s="122">
        <v>5</v>
      </c>
      <c r="H266" s="122">
        <v>5</v>
      </c>
      <c r="I266" s="126">
        <v>5770.1</v>
      </c>
      <c r="J266" s="126">
        <v>3935.4</v>
      </c>
      <c r="K266" s="126">
        <v>3781</v>
      </c>
      <c r="L266" s="124">
        <v>174</v>
      </c>
      <c r="M266" s="122" t="s">
        <v>272</v>
      </c>
      <c r="N266" s="122" t="s">
        <v>276</v>
      </c>
      <c r="O266" s="125" t="s">
        <v>758</v>
      </c>
      <c r="P266" s="126">
        <v>4026735.04</v>
      </c>
      <c r="Q266" s="126">
        <v>0</v>
      </c>
      <c r="R266" s="126">
        <v>0</v>
      </c>
      <c r="S266" s="126">
        <f t="shared" si="23"/>
        <v>4026735.04</v>
      </c>
      <c r="T266" s="126">
        <f t="shared" si="14"/>
        <v>697.86226235247216</v>
      </c>
      <c r="U266" s="126">
        <v>1211.6806502486957</v>
      </c>
    </row>
    <row r="267" spans="1:21" s="67" customFormat="1" ht="61.5" x14ac:dyDescent="0.9">
      <c r="A267" s="67">
        <v>1</v>
      </c>
      <c r="B267" s="118">
        <f>SUBTOTAL(103,$A$16:A267)</f>
        <v>246</v>
      </c>
      <c r="C267" s="115" t="s">
        <v>685</v>
      </c>
      <c r="D267" s="122">
        <v>1991</v>
      </c>
      <c r="E267" s="127"/>
      <c r="F267" s="127" t="s">
        <v>321</v>
      </c>
      <c r="G267" s="122">
        <v>5</v>
      </c>
      <c r="H267" s="122">
        <v>4</v>
      </c>
      <c r="I267" s="126">
        <v>5019</v>
      </c>
      <c r="J267" s="126">
        <v>4678</v>
      </c>
      <c r="K267" s="126">
        <v>4497.6000000000004</v>
      </c>
      <c r="L267" s="124">
        <v>145</v>
      </c>
      <c r="M267" s="122" t="s">
        <v>272</v>
      </c>
      <c r="N267" s="122" t="s">
        <v>276</v>
      </c>
      <c r="O267" s="125" t="s">
        <v>758</v>
      </c>
      <c r="P267" s="126">
        <v>3266633.7</v>
      </c>
      <c r="Q267" s="126">
        <v>0</v>
      </c>
      <c r="R267" s="126">
        <v>0</v>
      </c>
      <c r="S267" s="126">
        <f t="shared" si="23"/>
        <v>3266633.7</v>
      </c>
      <c r="T267" s="126">
        <f t="shared" si="14"/>
        <v>650.85349671249253</v>
      </c>
      <c r="U267" s="126">
        <v>1137.6698698944012</v>
      </c>
    </row>
    <row r="268" spans="1:21" s="67" customFormat="1" ht="61.5" x14ac:dyDescent="0.9">
      <c r="B268" s="115" t="s">
        <v>869</v>
      </c>
      <c r="C268" s="115"/>
      <c r="D268" s="122" t="s">
        <v>943</v>
      </c>
      <c r="E268" s="122" t="s">
        <v>943</v>
      </c>
      <c r="F268" s="122" t="s">
        <v>943</v>
      </c>
      <c r="G268" s="122" t="s">
        <v>943</v>
      </c>
      <c r="H268" s="122" t="s">
        <v>943</v>
      </c>
      <c r="I268" s="123">
        <f>SUM(I269:I274)</f>
        <v>9987.2999999999993</v>
      </c>
      <c r="J268" s="123">
        <f t="shared" ref="J268:L268" si="24">SUM(J269:J274)</f>
        <v>7893.7999999999993</v>
      </c>
      <c r="K268" s="123">
        <f t="shared" si="24"/>
        <v>7072.8</v>
      </c>
      <c r="L268" s="124">
        <f t="shared" si="24"/>
        <v>398</v>
      </c>
      <c r="M268" s="122" t="s">
        <v>943</v>
      </c>
      <c r="N268" s="122" t="s">
        <v>943</v>
      </c>
      <c r="O268" s="125" t="s">
        <v>943</v>
      </c>
      <c r="P268" s="126">
        <v>35924336.760000005</v>
      </c>
      <c r="Q268" s="126">
        <f t="shared" ref="Q268:S268" si="25">SUM(Q269:Q274)</f>
        <v>0</v>
      </c>
      <c r="R268" s="126">
        <f t="shared" si="25"/>
        <v>0</v>
      </c>
      <c r="S268" s="126">
        <f t="shared" si="25"/>
        <v>35924336.760000005</v>
      </c>
      <c r="T268" s="126">
        <f t="shared" si="14"/>
        <v>3597.0018683728345</v>
      </c>
      <c r="U268" s="126">
        <f>MAX(U269:U274)</f>
        <v>14608.086916526341</v>
      </c>
    </row>
    <row r="269" spans="1:21" s="67" customFormat="1" ht="61.5" x14ac:dyDescent="0.9">
      <c r="A269" s="67">
        <v>1</v>
      </c>
      <c r="B269" s="118">
        <f>SUBTOTAL(103,$A$16:A269)</f>
        <v>247</v>
      </c>
      <c r="C269" s="115" t="s">
        <v>695</v>
      </c>
      <c r="D269" s="122">
        <v>1896</v>
      </c>
      <c r="E269" s="127"/>
      <c r="F269" s="127" t="s">
        <v>274</v>
      </c>
      <c r="G269" s="122">
        <v>2</v>
      </c>
      <c r="H269" s="122">
        <v>1</v>
      </c>
      <c r="I269" s="126">
        <v>415.7</v>
      </c>
      <c r="J269" s="126">
        <v>392.3</v>
      </c>
      <c r="K269" s="126">
        <v>282.7</v>
      </c>
      <c r="L269" s="124">
        <v>23</v>
      </c>
      <c r="M269" s="122" t="s">
        <v>272</v>
      </c>
      <c r="N269" s="122" t="s">
        <v>276</v>
      </c>
      <c r="O269" s="125" t="s">
        <v>759</v>
      </c>
      <c r="P269" s="126">
        <v>3549468.85</v>
      </c>
      <c r="Q269" s="126">
        <v>0</v>
      </c>
      <c r="R269" s="126">
        <v>0</v>
      </c>
      <c r="S269" s="126">
        <f t="shared" ref="S269:S274" si="26">P269-Q269-R269</f>
        <v>3549468.85</v>
      </c>
      <c r="T269" s="126">
        <f t="shared" si="14"/>
        <v>8538.5346403656495</v>
      </c>
      <c r="U269" s="126">
        <v>14608.086916526341</v>
      </c>
    </row>
    <row r="270" spans="1:21" s="67" customFormat="1" ht="61.5" x14ac:dyDescent="0.9">
      <c r="A270" s="67">
        <v>1</v>
      </c>
      <c r="B270" s="118">
        <f>SUBTOTAL(103,$A$16:A270)</f>
        <v>248</v>
      </c>
      <c r="C270" s="115" t="s">
        <v>689</v>
      </c>
      <c r="D270" s="122">
        <v>1958</v>
      </c>
      <c r="E270" s="127"/>
      <c r="F270" s="127" t="s">
        <v>274</v>
      </c>
      <c r="G270" s="122">
        <v>3</v>
      </c>
      <c r="H270" s="122">
        <v>3</v>
      </c>
      <c r="I270" s="126">
        <v>1224.0999999999999</v>
      </c>
      <c r="J270" s="126">
        <v>1113.4000000000001</v>
      </c>
      <c r="K270" s="126">
        <v>755.9</v>
      </c>
      <c r="L270" s="124">
        <v>53</v>
      </c>
      <c r="M270" s="122" t="s">
        <v>272</v>
      </c>
      <c r="N270" s="122" t="s">
        <v>276</v>
      </c>
      <c r="O270" s="125" t="s">
        <v>759</v>
      </c>
      <c r="P270" s="126">
        <v>3778176.65</v>
      </c>
      <c r="Q270" s="126">
        <v>0</v>
      </c>
      <c r="R270" s="126">
        <v>0</v>
      </c>
      <c r="S270" s="126">
        <f t="shared" si="26"/>
        <v>3778176.65</v>
      </c>
      <c r="T270" s="126">
        <f t="shared" ref="T270:T333" si="27">P270/I270</f>
        <v>3086.4934645862268</v>
      </c>
      <c r="U270" s="126">
        <v>3989.5455277346623</v>
      </c>
    </row>
    <row r="271" spans="1:21" s="67" customFormat="1" ht="61.5" x14ac:dyDescent="0.9">
      <c r="A271" s="67">
        <v>1</v>
      </c>
      <c r="B271" s="118">
        <f>SUBTOTAL(103,$A$16:A271)</f>
        <v>249</v>
      </c>
      <c r="C271" s="115" t="s">
        <v>694</v>
      </c>
      <c r="D271" s="122">
        <v>1984</v>
      </c>
      <c r="E271" s="127"/>
      <c r="F271" s="127" t="s">
        <v>274</v>
      </c>
      <c r="G271" s="122">
        <v>3</v>
      </c>
      <c r="H271" s="122">
        <v>3</v>
      </c>
      <c r="I271" s="126">
        <v>2162.5</v>
      </c>
      <c r="J271" s="126">
        <v>2162.5</v>
      </c>
      <c r="K271" s="126">
        <v>2047.6</v>
      </c>
      <c r="L271" s="124">
        <v>79</v>
      </c>
      <c r="M271" s="122" t="s">
        <v>272</v>
      </c>
      <c r="N271" s="122" t="s">
        <v>276</v>
      </c>
      <c r="O271" s="125" t="s">
        <v>753</v>
      </c>
      <c r="P271" s="126">
        <v>6011459.4000000004</v>
      </c>
      <c r="Q271" s="126">
        <v>0</v>
      </c>
      <c r="R271" s="126">
        <v>0</v>
      </c>
      <c r="S271" s="126">
        <f t="shared" si="26"/>
        <v>6011459.4000000004</v>
      </c>
      <c r="T271" s="126">
        <f t="shared" si="27"/>
        <v>2779.8656184971101</v>
      </c>
      <c r="U271" s="126">
        <v>3593.2039297109827</v>
      </c>
    </row>
    <row r="272" spans="1:21" s="67" customFormat="1" ht="61.5" x14ac:dyDescent="0.9">
      <c r="A272" s="67">
        <v>1</v>
      </c>
      <c r="B272" s="118">
        <f>SUBTOTAL(103,$A$16:A272)</f>
        <v>250</v>
      </c>
      <c r="C272" s="115" t="s">
        <v>1285</v>
      </c>
      <c r="D272" s="122">
        <v>1950</v>
      </c>
      <c r="E272" s="127"/>
      <c r="F272" s="127" t="s">
        <v>274</v>
      </c>
      <c r="G272" s="122">
        <v>2</v>
      </c>
      <c r="H272" s="122">
        <v>2</v>
      </c>
      <c r="I272" s="126">
        <v>777.6</v>
      </c>
      <c r="J272" s="126">
        <v>523.9</v>
      </c>
      <c r="K272" s="126">
        <v>523.9</v>
      </c>
      <c r="L272" s="124">
        <v>36</v>
      </c>
      <c r="M272" s="122" t="s">
        <v>272</v>
      </c>
      <c r="N272" s="122" t="s">
        <v>276</v>
      </c>
      <c r="O272" s="125" t="s">
        <v>759</v>
      </c>
      <c r="P272" s="126">
        <v>4072403.42</v>
      </c>
      <c r="Q272" s="126">
        <v>0</v>
      </c>
      <c r="R272" s="126">
        <v>0</v>
      </c>
      <c r="S272" s="126">
        <f t="shared" si="26"/>
        <v>4072403.42</v>
      </c>
      <c r="T272" s="126">
        <f t="shared" si="27"/>
        <v>5237.1443158436214</v>
      </c>
      <c r="U272" s="126">
        <v>5631.6191782407404</v>
      </c>
    </row>
    <row r="273" spans="1:21" s="67" customFormat="1" ht="61.5" x14ac:dyDescent="0.9">
      <c r="A273" s="67">
        <v>1</v>
      </c>
      <c r="B273" s="118">
        <f>SUBTOTAL(103,$A$16:A273)</f>
        <v>251</v>
      </c>
      <c r="C273" s="115" t="s">
        <v>1286</v>
      </c>
      <c r="D273" s="122">
        <v>1932</v>
      </c>
      <c r="E273" s="127"/>
      <c r="F273" s="127" t="s">
        <v>1428</v>
      </c>
      <c r="G273" s="122">
        <v>3</v>
      </c>
      <c r="H273" s="122">
        <v>5</v>
      </c>
      <c r="I273" s="126">
        <v>1954.2</v>
      </c>
      <c r="J273" s="126">
        <v>1319.2</v>
      </c>
      <c r="K273" s="126">
        <v>1319.2</v>
      </c>
      <c r="L273" s="124">
        <v>78</v>
      </c>
      <c r="M273" s="122" t="s">
        <v>272</v>
      </c>
      <c r="N273" s="122" t="s">
        <v>276</v>
      </c>
      <c r="O273" s="125" t="s">
        <v>1429</v>
      </c>
      <c r="P273" s="126">
        <v>8037304.830000001</v>
      </c>
      <c r="Q273" s="126">
        <v>0</v>
      </c>
      <c r="R273" s="126">
        <v>0</v>
      </c>
      <c r="S273" s="126">
        <f t="shared" si="26"/>
        <v>8037304.830000001</v>
      </c>
      <c r="T273" s="126">
        <f t="shared" si="27"/>
        <v>4112.8363678231508</v>
      </c>
      <c r="U273" s="126">
        <v>13353.566971139084</v>
      </c>
    </row>
    <row r="274" spans="1:21" s="67" customFormat="1" ht="61.5" x14ac:dyDescent="0.9">
      <c r="A274" s="67">
        <v>1</v>
      </c>
      <c r="B274" s="118">
        <f>SUBTOTAL(103,$A$16:A274)</f>
        <v>252</v>
      </c>
      <c r="C274" s="115" t="s">
        <v>1270</v>
      </c>
      <c r="D274" s="122">
        <v>1882</v>
      </c>
      <c r="E274" s="127"/>
      <c r="F274" s="127" t="s">
        <v>274</v>
      </c>
      <c r="G274" s="122">
        <v>4</v>
      </c>
      <c r="H274" s="122">
        <v>2</v>
      </c>
      <c r="I274" s="126">
        <v>3453.2</v>
      </c>
      <c r="J274" s="126">
        <v>2382.5</v>
      </c>
      <c r="K274" s="126">
        <v>2143.5</v>
      </c>
      <c r="L274" s="124">
        <v>129</v>
      </c>
      <c r="M274" s="122" t="s">
        <v>272</v>
      </c>
      <c r="N274" s="122" t="s">
        <v>276</v>
      </c>
      <c r="O274" s="125" t="s">
        <v>759</v>
      </c>
      <c r="P274" s="126">
        <v>10475523.609999999</v>
      </c>
      <c r="Q274" s="126">
        <v>0</v>
      </c>
      <c r="R274" s="126">
        <v>0</v>
      </c>
      <c r="S274" s="126">
        <f t="shared" si="26"/>
        <v>10475523.609999999</v>
      </c>
      <c r="T274" s="126">
        <f t="shared" si="27"/>
        <v>3033.5699090698481</v>
      </c>
      <c r="U274" s="126">
        <v>3899.2085207923087</v>
      </c>
    </row>
    <row r="275" spans="1:21" s="67" customFormat="1" ht="61.5" x14ac:dyDescent="0.9">
      <c r="B275" s="115" t="s">
        <v>870</v>
      </c>
      <c r="C275" s="115"/>
      <c r="D275" s="122" t="s">
        <v>943</v>
      </c>
      <c r="E275" s="122" t="s">
        <v>943</v>
      </c>
      <c r="F275" s="122" t="s">
        <v>943</v>
      </c>
      <c r="G275" s="122" t="s">
        <v>943</v>
      </c>
      <c r="H275" s="122" t="s">
        <v>943</v>
      </c>
      <c r="I275" s="123">
        <f>SUM(I276:I279)</f>
        <v>15661.67</v>
      </c>
      <c r="J275" s="123">
        <f t="shared" ref="J275:L275" si="28">SUM(J276:J279)</f>
        <v>11320.82</v>
      </c>
      <c r="K275" s="123">
        <f t="shared" si="28"/>
        <v>10924.42</v>
      </c>
      <c r="L275" s="124">
        <f t="shared" si="28"/>
        <v>532</v>
      </c>
      <c r="M275" s="122" t="s">
        <v>943</v>
      </c>
      <c r="N275" s="122" t="s">
        <v>943</v>
      </c>
      <c r="O275" s="125" t="s">
        <v>943</v>
      </c>
      <c r="P275" s="126">
        <v>16213162.32</v>
      </c>
      <c r="Q275" s="126">
        <f t="shared" ref="Q275:S275" si="29">SUM(Q276:Q279)</f>
        <v>0</v>
      </c>
      <c r="R275" s="126">
        <f t="shared" si="29"/>
        <v>0</v>
      </c>
      <c r="S275" s="126">
        <f t="shared" si="29"/>
        <v>16213162.32</v>
      </c>
      <c r="T275" s="126">
        <f t="shared" si="27"/>
        <v>1035.2128681041038</v>
      </c>
      <c r="U275" s="126">
        <f>MAX(U276:U279)</f>
        <v>3160.94</v>
      </c>
    </row>
    <row r="276" spans="1:21" s="67" customFormat="1" ht="61.5" x14ac:dyDescent="0.9">
      <c r="A276" s="67">
        <v>1</v>
      </c>
      <c r="B276" s="118">
        <f>SUBTOTAL(103,$A$16:A276)</f>
        <v>253</v>
      </c>
      <c r="C276" s="115" t="s">
        <v>699</v>
      </c>
      <c r="D276" s="122">
        <v>1972</v>
      </c>
      <c r="E276" s="127"/>
      <c r="F276" s="127" t="s">
        <v>274</v>
      </c>
      <c r="G276" s="122">
        <v>5</v>
      </c>
      <c r="H276" s="122">
        <v>4</v>
      </c>
      <c r="I276" s="126">
        <v>4295.76</v>
      </c>
      <c r="J276" s="126">
        <v>3325.76</v>
      </c>
      <c r="K276" s="126">
        <v>3325.76</v>
      </c>
      <c r="L276" s="124">
        <v>137</v>
      </c>
      <c r="M276" s="122" t="s">
        <v>272</v>
      </c>
      <c r="N276" s="122" t="s">
        <v>276</v>
      </c>
      <c r="O276" s="125" t="s">
        <v>1062</v>
      </c>
      <c r="P276" s="126">
        <v>6202548</v>
      </c>
      <c r="Q276" s="126">
        <v>0</v>
      </c>
      <c r="R276" s="126">
        <v>0</v>
      </c>
      <c r="S276" s="126">
        <f t="shared" ref="S276:S279" si="30">P276-Q276-R276</f>
        <v>6202548</v>
      </c>
      <c r="T276" s="126">
        <f t="shared" si="27"/>
        <v>1443.8767528912228</v>
      </c>
      <c r="U276" s="126">
        <v>1866.3289289904462</v>
      </c>
    </row>
    <row r="277" spans="1:21" s="67" customFormat="1" ht="61.5" x14ac:dyDescent="0.9">
      <c r="A277" s="67">
        <v>1</v>
      </c>
      <c r="B277" s="118">
        <f>SUBTOTAL(103,$A$16:A277)</f>
        <v>254</v>
      </c>
      <c r="C277" s="115" t="s">
        <v>696</v>
      </c>
      <c r="D277" s="122">
        <v>1978</v>
      </c>
      <c r="E277" s="127"/>
      <c r="F277" s="127" t="s">
        <v>274</v>
      </c>
      <c r="G277" s="122">
        <v>3</v>
      </c>
      <c r="H277" s="122">
        <v>2</v>
      </c>
      <c r="I277" s="126">
        <v>1569.6</v>
      </c>
      <c r="J277" s="126">
        <v>1094.4000000000001</v>
      </c>
      <c r="K277" s="126">
        <v>1094.4000000000001</v>
      </c>
      <c r="L277" s="124">
        <v>59</v>
      </c>
      <c r="M277" s="122" t="s">
        <v>272</v>
      </c>
      <c r="N277" s="122" t="s">
        <v>276</v>
      </c>
      <c r="O277" s="125" t="s">
        <v>1063</v>
      </c>
      <c r="P277" s="126">
        <v>3579794.97</v>
      </c>
      <c r="Q277" s="126">
        <v>0</v>
      </c>
      <c r="R277" s="126">
        <v>0</v>
      </c>
      <c r="S277" s="126">
        <f t="shared" si="30"/>
        <v>3579794.97</v>
      </c>
      <c r="T277" s="126">
        <f t="shared" si="27"/>
        <v>2280.7052561162081</v>
      </c>
      <c r="U277" s="126">
        <v>3160.94</v>
      </c>
    </row>
    <row r="278" spans="1:21" s="67" customFormat="1" ht="61.5" x14ac:dyDescent="0.9">
      <c r="A278" s="67">
        <v>1</v>
      </c>
      <c r="B278" s="118">
        <f>SUBTOTAL(103,$A$16:A278)</f>
        <v>255</v>
      </c>
      <c r="C278" s="115" t="s">
        <v>1287</v>
      </c>
      <c r="D278" s="122">
        <v>1968</v>
      </c>
      <c r="E278" s="127"/>
      <c r="F278" s="127" t="s">
        <v>274</v>
      </c>
      <c r="G278" s="122">
        <v>5</v>
      </c>
      <c r="H278" s="122">
        <v>4</v>
      </c>
      <c r="I278" s="126">
        <v>4460.8999999999996</v>
      </c>
      <c r="J278" s="126">
        <v>2874.85</v>
      </c>
      <c r="K278" s="126">
        <v>2874.85</v>
      </c>
      <c r="L278" s="124">
        <v>114</v>
      </c>
      <c r="M278" s="122" t="s">
        <v>272</v>
      </c>
      <c r="N278" s="122" t="s">
        <v>276</v>
      </c>
      <c r="O278" s="125" t="s">
        <v>1430</v>
      </c>
      <c r="P278" s="126">
        <v>3650965.3</v>
      </c>
      <c r="Q278" s="126">
        <v>0</v>
      </c>
      <c r="R278" s="126">
        <v>0</v>
      </c>
      <c r="S278" s="126">
        <f t="shared" si="30"/>
        <v>3650965.3</v>
      </c>
      <c r="T278" s="126">
        <f t="shared" si="27"/>
        <v>818.43692976753573</v>
      </c>
      <c r="U278" s="126">
        <v>1293.4670918424533</v>
      </c>
    </row>
    <row r="279" spans="1:21" s="67" customFormat="1" ht="61.5" x14ac:dyDescent="0.9">
      <c r="A279" s="67">
        <v>1</v>
      </c>
      <c r="B279" s="118">
        <f>SUBTOTAL(103,$A$16:A279)</f>
        <v>256</v>
      </c>
      <c r="C279" s="115" t="s">
        <v>1272</v>
      </c>
      <c r="D279" s="122">
        <v>1990</v>
      </c>
      <c r="E279" s="127"/>
      <c r="F279" s="127" t="s">
        <v>274</v>
      </c>
      <c r="G279" s="122">
        <v>5</v>
      </c>
      <c r="H279" s="122">
        <v>6</v>
      </c>
      <c r="I279" s="126">
        <v>5335.41</v>
      </c>
      <c r="J279" s="126">
        <v>4025.81</v>
      </c>
      <c r="K279" s="126">
        <v>3629.41</v>
      </c>
      <c r="L279" s="124">
        <v>222</v>
      </c>
      <c r="M279" s="122" t="s">
        <v>272</v>
      </c>
      <c r="N279" s="122" t="s">
        <v>276</v>
      </c>
      <c r="O279" s="125" t="s">
        <v>1416</v>
      </c>
      <c r="P279" s="126">
        <v>2779854.05</v>
      </c>
      <c r="Q279" s="126">
        <v>0</v>
      </c>
      <c r="R279" s="126">
        <v>0</v>
      </c>
      <c r="S279" s="126">
        <f t="shared" si="30"/>
        <v>2779854.05</v>
      </c>
      <c r="T279" s="126">
        <f t="shared" si="27"/>
        <v>521.0197623050525</v>
      </c>
      <c r="U279" s="126">
        <v>1462.0567234757966</v>
      </c>
    </row>
    <row r="280" spans="1:21" s="67" customFormat="1" ht="61.5" x14ac:dyDescent="0.9">
      <c r="B280" s="115" t="s">
        <v>1373</v>
      </c>
      <c r="C280" s="115"/>
      <c r="D280" s="122" t="s">
        <v>943</v>
      </c>
      <c r="E280" s="122" t="s">
        <v>943</v>
      </c>
      <c r="F280" s="122" t="s">
        <v>943</v>
      </c>
      <c r="G280" s="122" t="s">
        <v>943</v>
      </c>
      <c r="H280" s="122" t="s">
        <v>943</v>
      </c>
      <c r="I280" s="123">
        <f>I281</f>
        <v>762</v>
      </c>
      <c r="J280" s="123">
        <f t="shared" ref="J280:L280" si="31">J281</f>
        <v>709</v>
      </c>
      <c r="K280" s="123">
        <f t="shared" si="31"/>
        <v>709</v>
      </c>
      <c r="L280" s="124">
        <f t="shared" si="31"/>
        <v>12</v>
      </c>
      <c r="M280" s="122" t="s">
        <v>943</v>
      </c>
      <c r="N280" s="122" t="s">
        <v>943</v>
      </c>
      <c r="O280" s="125" t="s">
        <v>943</v>
      </c>
      <c r="P280" s="126">
        <v>509455.14</v>
      </c>
      <c r="Q280" s="126">
        <f t="shared" ref="Q280:S280" si="32">Q281</f>
        <v>0</v>
      </c>
      <c r="R280" s="126">
        <f t="shared" si="32"/>
        <v>0</v>
      </c>
      <c r="S280" s="126">
        <f t="shared" si="32"/>
        <v>509455.14</v>
      </c>
      <c r="T280" s="126">
        <f t="shared" si="27"/>
        <v>668.57629921259843</v>
      </c>
      <c r="U280" s="126">
        <f>MAX(U281)</f>
        <v>668.57629921259843</v>
      </c>
    </row>
    <row r="281" spans="1:21" s="67" customFormat="1" ht="61.5" x14ac:dyDescent="0.9">
      <c r="A281" s="67">
        <v>1</v>
      </c>
      <c r="B281" s="118">
        <f>SUBTOTAL(103,$A$16:A281)</f>
        <v>257</v>
      </c>
      <c r="C281" s="115" t="s">
        <v>1271</v>
      </c>
      <c r="D281" s="122">
        <v>1967</v>
      </c>
      <c r="E281" s="127"/>
      <c r="F281" s="127" t="s">
        <v>274</v>
      </c>
      <c r="G281" s="122">
        <v>2</v>
      </c>
      <c r="H281" s="122">
        <v>2</v>
      </c>
      <c r="I281" s="126">
        <v>762</v>
      </c>
      <c r="J281" s="126">
        <v>709</v>
      </c>
      <c r="K281" s="126">
        <v>709</v>
      </c>
      <c r="L281" s="124">
        <v>12</v>
      </c>
      <c r="M281" s="122" t="s">
        <v>272</v>
      </c>
      <c r="N281" s="122" t="s">
        <v>291</v>
      </c>
      <c r="O281" s="125" t="s">
        <v>275</v>
      </c>
      <c r="P281" s="126">
        <v>509455.14</v>
      </c>
      <c r="Q281" s="126">
        <v>0</v>
      </c>
      <c r="R281" s="126">
        <v>0</v>
      </c>
      <c r="S281" s="126">
        <f>P281-Q281-R281</f>
        <v>509455.14</v>
      </c>
      <c r="T281" s="126">
        <f t="shared" si="27"/>
        <v>668.57629921259843</v>
      </c>
      <c r="U281" s="126">
        <v>668.57629921259843</v>
      </c>
    </row>
    <row r="282" spans="1:21" s="67" customFormat="1" ht="61.5" x14ac:dyDescent="0.9">
      <c r="B282" s="115" t="s">
        <v>871</v>
      </c>
      <c r="C282" s="119"/>
      <c r="D282" s="122" t="s">
        <v>943</v>
      </c>
      <c r="E282" s="122" t="s">
        <v>943</v>
      </c>
      <c r="F282" s="122" t="s">
        <v>943</v>
      </c>
      <c r="G282" s="122" t="s">
        <v>943</v>
      </c>
      <c r="H282" s="122" t="s">
        <v>943</v>
      </c>
      <c r="I282" s="123">
        <f>SUM(I283:I284)</f>
        <v>2259.1</v>
      </c>
      <c r="J282" s="123">
        <f t="shared" ref="J282:L282" si="33">SUM(J283:J284)</f>
        <v>2114.1</v>
      </c>
      <c r="K282" s="123">
        <f t="shared" si="33"/>
        <v>2070.3000000000002</v>
      </c>
      <c r="L282" s="124">
        <f t="shared" si="33"/>
        <v>104</v>
      </c>
      <c r="M282" s="122" t="s">
        <v>943</v>
      </c>
      <c r="N282" s="122" t="s">
        <v>943</v>
      </c>
      <c r="O282" s="125" t="s">
        <v>943</v>
      </c>
      <c r="P282" s="126">
        <v>4817952.709999999</v>
      </c>
      <c r="Q282" s="126">
        <f t="shared" ref="Q282:S282" si="34">SUM(Q283:Q284)</f>
        <v>0</v>
      </c>
      <c r="R282" s="126">
        <f t="shared" si="34"/>
        <v>0</v>
      </c>
      <c r="S282" s="126">
        <f t="shared" si="34"/>
        <v>4817952.709999999</v>
      </c>
      <c r="T282" s="126">
        <f t="shared" si="27"/>
        <v>2132.686782346952</v>
      </c>
      <c r="U282" s="126">
        <f>MAX(U283:U284)</f>
        <v>4314.7442189892799</v>
      </c>
    </row>
    <row r="283" spans="1:21" s="67" customFormat="1" ht="61.5" x14ac:dyDescent="0.9">
      <c r="A283" s="67">
        <v>1</v>
      </c>
      <c r="B283" s="118">
        <f>SUBTOTAL(103,$A$16:A283)</f>
        <v>258</v>
      </c>
      <c r="C283" s="115" t="s">
        <v>724</v>
      </c>
      <c r="D283" s="122">
        <v>1982</v>
      </c>
      <c r="E283" s="127"/>
      <c r="F283" s="127" t="s">
        <v>274</v>
      </c>
      <c r="G283" s="122">
        <v>3</v>
      </c>
      <c r="H283" s="122">
        <v>3</v>
      </c>
      <c r="I283" s="126">
        <v>1997.9</v>
      </c>
      <c r="J283" s="126">
        <v>1878</v>
      </c>
      <c r="K283" s="126">
        <v>1878</v>
      </c>
      <c r="L283" s="124">
        <v>88</v>
      </c>
      <c r="M283" s="122" t="s">
        <v>272</v>
      </c>
      <c r="N283" s="122" t="s">
        <v>273</v>
      </c>
      <c r="O283" s="125" t="s">
        <v>275</v>
      </c>
      <c r="P283" s="126">
        <v>4222742.4399999995</v>
      </c>
      <c r="Q283" s="126">
        <v>0</v>
      </c>
      <c r="R283" s="126">
        <v>0</v>
      </c>
      <c r="S283" s="126">
        <f t="shared" ref="S283:S284" si="35">P283-Q283-R283</f>
        <v>4222742.4399999995</v>
      </c>
      <c r="T283" s="126">
        <f t="shared" si="27"/>
        <v>2113.5904900145147</v>
      </c>
      <c r="U283" s="126">
        <v>2928.5801041093146</v>
      </c>
    </row>
    <row r="284" spans="1:21" s="67" customFormat="1" ht="61.5" x14ac:dyDescent="0.9">
      <c r="A284" s="67">
        <v>1</v>
      </c>
      <c r="B284" s="118">
        <f>SUBTOTAL(103,$A$16:A284)</f>
        <v>259</v>
      </c>
      <c r="C284" s="115" t="s">
        <v>722</v>
      </c>
      <c r="D284" s="122">
        <v>1905</v>
      </c>
      <c r="E284" s="127"/>
      <c r="F284" s="127" t="s">
        <v>274</v>
      </c>
      <c r="G284" s="122">
        <v>2</v>
      </c>
      <c r="H284" s="122">
        <v>1</v>
      </c>
      <c r="I284" s="126">
        <v>261.2</v>
      </c>
      <c r="J284" s="126">
        <v>236.1</v>
      </c>
      <c r="K284" s="126">
        <v>192.3</v>
      </c>
      <c r="L284" s="124">
        <v>16</v>
      </c>
      <c r="M284" s="122" t="s">
        <v>272</v>
      </c>
      <c r="N284" s="122" t="s">
        <v>273</v>
      </c>
      <c r="O284" s="125" t="s">
        <v>275</v>
      </c>
      <c r="P284" s="126">
        <v>595210.27</v>
      </c>
      <c r="Q284" s="126">
        <v>0</v>
      </c>
      <c r="R284" s="126">
        <v>0</v>
      </c>
      <c r="S284" s="126">
        <f t="shared" si="35"/>
        <v>595210.27</v>
      </c>
      <c r="T284" s="126">
        <f t="shared" si="27"/>
        <v>2278.752947932619</v>
      </c>
      <c r="U284" s="126">
        <v>4314.7442189892799</v>
      </c>
    </row>
    <row r="285" spans="1:21" s="67" customFormat="1" ht="61.5" x14ac:dyDescent="0.9">
      <c r="B285" s="115" t="s">
        <v>872</v>
      </c>
      <c r="C285" s="115"/>
      <c r="D285" s="122" t="s">
        <v>943</v>
      </c>
      <c r="E285" s="122" t="s">
        <v>943</v>
      </c>
      <c r="F285" s="122" t="s">
        <v>943</v>
      </c>
      <c r="G285" s="122" t="s">
        <v>943</v>
      </c>
      <c r="H285" s="122" t="s">
        <v>943</v>
      </c>
      <c r="I285" s="123">
        <f>SUM(I286:I290)</f>
        <v>4271.2</v>
      </c>
      <c r="J285" s="123">
        <f t="shared" ref="J285:L285" si="36">SUM(J286:J290)</f>
        <v>3882.2</v>
      </c>
      <c r="K285" s="123">
        <f t="shared" si="36"/>
        <v>3661.5999999999995</v>
      </c>
      <c r="L285" s="124">
        <f t="shared" si="36"/>
        <v>161</v>
      </c>
      <c r="M285" s="122" t="s">
        <v>943</v>
      </c>
      <c r="N285" s="122" t="s">
        <v>943</v>
      </c>
      <c r="O285" s="125" t="s">
        <v>943</v>
      </c>
      <c r="P285" s="126">
        <v>13474518.75</v>
      </c>
      <c r="Q285" s="126">
        <f t="shared" ref="Q285:S285" si="37">SUM(Q286:Q290)</f>
        <v>0</v>
      </c>
      <c r="R285" s="126">
        <f t="shared" si="37"/>
        <v>0</v>
      </c>
      <c r="S285" s="126">
        <f t="shared" si="37"/>
        <v>13474518.75</v>
      </c>
      <c r="T285" s="126">
        <f t="shared" si="27"/>
        <v>3154.7384224573893</v>
      </c>
      <c r="U285" s="126">
        <f>MAX(U286:U290)</f>
        <v>7254.7946601798621</v>
      </c>
    </row>
    <row r="286" spans="1:21" s="67" customFormat="1" ht="61.5" x14ac:dyDescent="0.9">
      <c r="A286" s="67">
        <v>1</v>
      </c>
      <c r="B286" s="118">
        <f>SUBTOTAL(103,$A$16:A286)</f>
        <v>260</v>
      </c>
      <c r="C286" s="115" t="s">
        <v>738</v>
      </c>
      <c r="D286" s="122">
        <v>1968</v>
      </c>
      <c r="E286" s="127">
        <v>2010</v>
      </c>
      <c r="F286" s="127" t="s">
        <v>274</v>
      </c>
      <c r="G286" s="122">
        <v>2</v>
      </c>
      <c r="H286" s="122">
        <v>2</v>
      </c>
      <c r="I286" s="126">
        <v>794.9</v>
      </c>
      <c r="J286" s="126">
        <v>734.9</v>
      </c>
      <c r="K286" s="126">
        <v>734.9</v>
      </c>
      <c r="L286" s="124">
        <v>21</v>
      </c>
      <c r="M286" s="122" t="s">
        <v>272</v>
      </c>
      <c r="N286" s="122" t="s">
        <v>351</v>
      </c>
      <c r="O286" s="125" t="s">
        <v>764</v>
      </c>
      <c r="P286" s="126">
        <v>2242518.08</v>
      </c>
      <c r="Q286" s="126">
        <v>0</v>
      </c>
      <c r="R286" s="126">
        <v>0</v>
      </c>
      <c r="S286" s="126">
        <f t="shared" ref="S286:S290" si="38">P286-Q286-R286</f>
        <v>2242518.08</v>
      </c>
      <c r="T286" s="126">
        <f t="shared" si="27"/>
        <v>2821.1323185306328</v>
      </c>
      <c r="U286" s="126">
        <v>5760.0216152975217</v>
      </c>
    </row>
    <row r="287" spans="1:21" s="67" customFormat="1" ht="61.5" x14ac:dyDescent="0.9">
      <c r="A287" s="67">
        <v>1</v>
      </c>
      <c r="B287" s="118">
        <f>SUBTOTAL(103,$A$16:A287)</f>
        <v>261</v>
      </c>
      <c r="C287" s="115" t="s">
        <v>1290</v>
      </c>
      <c r="D287" s="122">
        <v>1962</v>
      </c>
      <c r="E287" s="127"/>
      <c r="F287" s="127" t="s">
        <v>274</v>
      </c>
      <c r="G287" s="122">
        <v>2</v>
      </c>
      <c r="H287" s="122">
        <v>2</v>
      </c>
      <c r="I287" s="126">
        <v>722.8</v>
      </c>
      <c r="J287" s="126">
        <v>668.8</v>
      </c>
      <c r="K287" s="126">
        <v>668.8</v>
      </c>
      <c r="L287" s="124">
        <v>29</v>
      </c>
      <c r="M287" s="122" t="s">
        <v>272</v>
      </c>
      <c r="N287" s="122" t="s">
        <v>351</v>
      </c>
      <c r="O287" s="125" t="s">
        <v>773</v>
      </c>
      <c r="P287" s="126">
        <v>3342143.64</v>
      </c>
      <c r="Q287" s="126">
        <v>0</v>
      </c>
      <c r="R287" s="126">
        <v>0</v>
      </c>
      <c r="S287" s="126">
        <f t="shared" si="38"/>
        <v>3342143.64</v>
      </c>
      <c r="T287" s="126">
        <f t="shared" si="27"/>
        <v>4623.8843940232437</v>
      </c>
      <c r="U287" s="126">
        <v>6750.7759380188163</v>
      </c>
    </row>
    <row r="288" spans="1:21" s="67" customFormat="1" ht="61.5" x14ac:dyDescent="0.9">
      <c r="A288" s="67">
        <v>1</v>
      </c>
      <c r="B288" s="118">
        <f>SUBTOTAL(103,$A$16:A288)</f>
        <v>262</v>
      </c>
      <c r="C288" s="115" t="s">
        <v>1291</v>
      </c>
      <c r="D288" s="122">
        <v>1961</v>
      </c>
      <c r="E288" s="127"/>
      <c r="F288" s="127" t="s">
        <v>274</v>
      </c>
      <c r="G288" s="122">
        <v>2</v>
      </c>
      <c r="H288" s="122">
        <v>1</v>
      </c>
      <c r="I288" s="126">
        <v>678.3</v>
      </c>
      <c r="J288" s="126">
        <v>561.4</v>
      </c>
      <c r="K288" s="126">
        <v>388.6</v>
      </c>
      <c r="L288" s="124">
        <v>26</v>
      </c>
      <c r="M288" s="122" t="s">
        <v>272</v>
      </c>
      <c r="N288" s="122" t="s">
        <v>351</v>
      </c>
      <c r="O288" s="125" t="s">
        <v>773</v>
      </c>
      <c r="P288" s="126">
        <v>3337360.9</v>
      </c>
      <c r="Q288" s="126">
        <v>0</v>
      </c>
      <c r="R288" s="126">
        <v>0</v>
      </c>
      <c r="S288" s="126">
        <f t="shared" si="38"/>
        <v>3337360.9</v>
      </c>
      <c r="T288" s="126">
        <f t="shared" si="27"/>
        <v>4920.1841368126197</v>
      </c>
      <c r="U288" s="126">
        <v>7254.7946601798621</v>
      </c>
    </row>
    <row r="289" spans="1:21" s="67" customFormat="1" ht="61.5" x14ac:dyDescent="0.9">
      <c r="A289" s="67">
        <v>1</v>
      </c>
      <c r="B289" s="118">
        <f>SUBTOTAL(103,$A$16:A289)</f>
        <v>263</v>
      </c>
      <c r="C289" s="115" t="s">
        <v>1292</v>
      </c>
      <c r="D289" s="122">
        <v>1975</v>
      </c>
      <c r="E289" s="127"/>
      <c r="F289" s="127" t="s">
        <v>274</v>
      </c>
      <c r="G289" s="122">
        <v>2</v>
      </c>
      <c r="H289" s="122">
        <v>2</v>
      </c>
      <c r="I289" s="126">
        <v>984.2</v>
      </c>
      <c r="J289" s="126">
        <v>894.4</v>
      </c>
      <c r="K289" s="126">
        <v>846.6</v>
      </c>
      <c r="L289" s="124">
        <v>46</v>
      </c>
      <c r="M289" s="122" t="s">
        <v>272</v>
      </c>
      <c r="N289" s="122" t="s">
        <v>351</v>
      </c>
      <c r="O289" s="125" t="s">
        <v>773</v>
      </c>
      <c r="P289" s="126">
        <v>1087450.3500000001</v>
      </c>
      <c r="Q289" s="126">
        <v>0</v>
      </c>
      <c r="R289" s="126">
        <v>0</v>
      </c>
      <c r="S289" s="126">
        <f t="shared" si="38"/>
        <v>1087450.3500000001</v>
      </c>
      <c r="T289" s="126">
        <f t="shared" si="27"/>
        <v>1104.9078947368421</v>
      </c>
      <c r="U289" s="126">
        <v>3023.77</v>
      </c>
    </row>
    <row r="290" spans="1:21" s="67" customFormat="1" ht="61.5" x14ac:dyDescent="0.9">
      <c r="A290" s="67">
        <v>1</v>
      </c>
      <c r="B290" s="118">
        <f>SUBTOTAL(103,$A$16:A290)</f>
        <v>264</v>
      </c>
      <c r="C290" s="115" t="s">
        <v>1293</v>
      </c>
      <c r="D290" s="122">
        <v>1992</v>
      </c>
      <c r="E290" s="127"/>
      <c r="F290" s="127" t="s">
        <v>274</v>
      </c>
      <c r="G290" s="122">
        <v>3</v>
      </c>
      <c r="H290" s="122">
        <v>2</v>
      </c>
      <c r="I290" s="126">
        <v>1091</v>
      </c>
      <c r="J290" s="126">
        <v>1022.7</v>
      </c>
      <c r="K290" s="126">
        <v>1022.7</v>
      </c>
      <c r="L290" s="124">
        <v>39</v>
      </c>
      <c r="M290" s="122" t="s">
        <v>272</v>
      </c>
      <c r="N290" s="122" t="s">
        <v>276</v>
      </c>
      <c r="O290" s="125" t="s">
        <v>1440</v>
      </c>
      <c r="P290" s="126">
        <v>3465045.78</v>
      </c>
      <c r="Q290" s="126">
        <v>0</v>
      </c>
      <c r="R290" s="126">
        <v>0</v>
      </c>
      <c r="S290" s="126">
        <f t="shared" si="38"/>
        <v>3465045.78</v>
      </c>
      <c r="T290" s="126">
        <f t="shared" si="27"/>
        <v>3176.0272960586617</v>
      </c>
      <c r="U290" s="126">
        <v>3176.0272960586617</v>
      </c>
    </row>
    <row r="291" spans="1:21" s="67" customFormat="1" ht="61.5" x14ac:dyDescent="0.9">
      <c r="B291" s="115" t="s">
        <v>873</v>
      </c>
      <c r="C291" s="115"/>
      <c r="D291" s="122" t="s">
        <v>943</v>
      </c>
      <c r="E291" s="122" t="s">
        <v>943</v>
      </c>
      <c r="F291" s="122" t="s">
        <v>943</v>
      </c>
      <c r="G291" s="122" t="s">
        <v>943</v>
      </c>
      <c r="H291" s="122" t="s">
        <v>943</v>
      </c>
      <c r="I291" s="123">
        <f>SUM(I292:I296)</f>
        <v>2996.9</v>
      </c>
      <c r="J291" s="123">
        <f t="shared" ref="J291:L291" si="39">SUM(J292:J296)</f>
        <v>2371.2000000000003</v>
      </c>
      <c r="K291" s="123">
        <f t="shared" si="39"/>
        <v>1491.3</v>
      </c>
      <c r="L291" s="124">
        <f t="shared" si="39"/>
        <v>130</v>
      </c>
      <c r="M291" s="122" t="s">
        <v>943</v>
      </c>
      <c r="N291" s="122" t="s">
        <v>943</v>
      </c>
      <c r="O291" s="125" t="s">
        <v>943</v>
      </c>
      <c r="P291" s="126">
        <v>4062130.5699999989</v>
      </c>
      <c r="Q291" s="126">
        <f t="shared" ref="Q291:S291" si="40">SUM(Q292:Q296)</f>
        <v>0</v>
      </c>
      <c r="R291" s="126">
        <f t="shared" si="40"/>
        <v>0</v>
      </c>
      <c r="S291" s="126">
        <f t="shared" si="40"/>
        <v>4062130.5699999989</v>
      </c>
      <c r="T291" s="126">
        <f t="shared" si="27"/>
        <v>1355.4441489539186</v>
      </c>
      <c r="U291" s="126">
        <f>MAX(U292:U296)</f>
        <v>4493.0076778523489</v>
      </c>
    </row>
    <row r="292" spans="1:21" s="67" customFormat="1" ht="61.5" x14ac:dyDescent="0.9">
      <c r="A292" s="67">
        <v>1</v>
      </c>
      <c r="B292" s="118">
        <f>SUBTOTAL(103,$A$16:A292)</f>
        <v>265</v>
      </c>
      <c r="C292" s="115" t="s">
        <v>739</v>
      </c>
      <c r="D292" s="122">
        <v>1962</v>
      </c>
      <c r="E292" s="127"/>
      <c r="F292" s="127" t="s">
        <v>274</v>
      </c>
      <c r="G292" s="122">
        <v>2</v>
      </c>
      <c r="H292" s="122">
        <v>2</v>
      </c>
      <c r="I292" s="126">
        <v>745</v>
      </c>
      <c r="J292" s="126">
        <v>657.6</v>
      </c>
      <c r="K292" s="126">
        <v>41.5</v>
      </c>
      <c r="L292" s="124">
        <v>48</v>
      </c>
      <c r="M292" s="122" t="s">
        <v>272</v>
      </c>
      <c r="N292" s="122" t="s">
        <v>273</v>
      </c>
      <c r="O292" s="125" t="s">
        <v>275</v>
      </c>
      <c r="P292" s="126">
        <v>2525399.5999999996</v>
      </c>
      <c r="Q292" s="126">
        <v>0</v>
      </c>
      <c r="R292" s="126">
        <v>0</v>
      </c>
      <c r="S292" s="126">
        <f t="shared" ref="S292:S296" si="41">P292-Q292-R292</f>
        <v>2525399.5999999996</v>
      </c>
      <c r="T292" s="126">
        <f t="shared" si="27"/>
        <v>3389.7981208053689</v>
      </c>
      <c r="U292" s="126">
        <v>4493.0076778523489</v>
      </c>
    </row>
    <row r="293" spans="1:21" s="67" customFormat="1" ht="61.5" x14ac:dyDescent="0.9">
      <c r="A293" s="67">
        <v>1</v>
      </c>
      <c r="B293" s="118">
        <f>SUBTOTAL(103,$A$16:A293)</f>
        <v>266</v>
      </c>
      <c r="C293" s="115" t="s">
        <v>730</v>
      </c>
      <c r="D293" s="122">
        <v>1938</v>
      </c>
      <c r="E293" s="127"/>
      <c r="F293" s="127" t="s">
        <v>340</v>
      </c>
      <c r="G293" s="122">
        <v>2</v>
      </c>
      <c r="H293" s="122">
        <v>1</v>
      </c>
      <c r="I293" s="126">
        <v>244.9</v>
      </c>
      <c r="J293" s="126">
        <v>223.9</v>
      </c>
      <c r="K293" s="126">
        <v>210.8</v>
      </c>
      <c r="L293" s="124">
        <v>15</v>
      </c>
      <c r="M293" s="122" t="s">
        <v>272</v>
      </c>
      <c r="N293" s="122" t="s">
        <v>273</v>
      </c>
      <c r="O293" s="125" t="s">
        <v>275</v>
      </c>
      <c r="P293" s="126">
        <v>150594.57</v>
      </c>
      <c r="Q293" s="126">
        <v>0</v>
      </c>
      <c r="R293" s="126">
        <v>0</v>
      </c>
      <c r="S293" s="126">
        <f t="shared" si="41"/>
        <v>150594.57</v>
      </c>
      <c r="T293" s="126">
        <f t="shared" si="27"/>
        <v>614.92270314414043</v>
      </c>
      <c r="U293" s="126">
        <v>673.78</v>
      </c>
    </row>
    <row r="294" spans="1:21" s="67" customFormat="1" ht="61.5" x14ac:dyDescent="0.9">
      <c r="A294" s="67">
        <v>1</v>
      </c>
      <c r="B294" s="118">
        <f>SUBTOTAL(103,$A$16:A294)</f>
        <v>267</v>
      </c>
      <c r="C294" s="115" t="s">
        <v>729</v>
      </c>
      <c r="D294" s="122">
        <v>1959</v>
      </c>
      <c r="E294" s="127"/>
      <c r="F294" s="127" t="s">
        <v>274</v>
      </c>
      <c r="G294" s="122">
        <v>3</v>
      </c>
      <c r="H294" s="122">
        <v>1</v>
      </c>
      <c r="I294" s="126">
        <v>989.5</v>
      </c>
      <c r="J294" s="126">
        <v>493.8</v>
      </c>
      <c r="K294" s="126">
        <v>332</v>
      </c>
      <c r="L294" s="124">
        <v>35</v>
      </c>
      <c r="M294" s="122" t="s">
        <v>272</v>
      </c>
      <c r="N294" s="122" t="s">
        <v>273</v>
      </c>
      <c r="O294" s="125" t="s">
        <v>275</v>
      </c>
      <c r="P294" s="126">
        <v>617736.44999999995</v>
      </c>
      <c r="Q294" s="126">
        <v>0</v>
      </c>
      <c r="R294" s="126">
        <v>0</v>
      </c>
      <c r="S294" s="126">
        <f t="shared" si="41"/>
        <v>617736.44999999995</v>
      </c>
      <c r="T294" s="126">
        <f t="shared" si="27"/>
        <v>624.29151086407273</v>
      </c>
      <c r="U294" s="126">
        <v>673.78</v>
      </c>
    </row>
    <row r="295" spans="1:21" s="67" customFormat="1" ht="61.5" x14ac:dyDescent="0.9">
      <c r="A295" s="67">
        <v>1</v>
      </c>
      <c r="B295" s="118">
        <f>SUBTOTAL(103,$A$16:A295)</f>
        <v>268</v>
      </c>
      <c r="C295" s="115" t="s">
        <v>1298</v>
      </c>
      <c r="D295" s="122">
        <v>1971</v>
      </c>
      <c r="E295" s="127"/>
      <c r="F295" s="127" t="s">
        <v>274</v>
      </c>
      <c r="G295" s="122">
        <v>2</v>
      </c>
      <c r="H295" s="122">
        <v>2</v>
      </c>
      <c r="I295" s="126">
        <v>719</v>
      </c>
      <c r="J295" s="126">
        <v>719</v>
      </c>
      <c r="K295" s="126">
        <v>668.2</v>
      </c>
      <c r="L295" s="124">
        <v>21</v>
      </c>
      <c r="M295" s="122" t="s">
        <v>272</v>
      </c>
      <c r="N295" s="122" t="s">
        <v>276</v>
      </c>
      <c r="O295" s="125" t="s">
        <v>1439</v>
      </c>
      <c r="P295" s="126">
        <v>556946.59000000008</v>
      </c>
      <c r="Q295" s="126">
        <v>0</v>
      </c>
      <c r="R295" s="126">
        <v>0</v>
      </c>
      <c r="S295" s="126">
        <f t="shared" si="41"/>
        <v>556946.59000000008</v>
      </c>
      <c r="T295" s="126">
        <f t="shared" si="27"/>
        <v>774.61278164116845</v>
      </c>
      <c r="U295" s="126">
        <v>774.61278164116845</v>
      </c>
    </row>
    <row r="296" spans="1:21" s="67" customFormat="1" ht="61.5" x14ac:dyDescent="0.9">
      <c r="A296" s="67">
        <v>1</v>
      </c>
      <c r="B296" s="118">
        <f>SUBTOTAL(103,$A$16:A296)</f>
        <v>269</v>
      </c>
      <c r="C296" s="115" t="s">
        <v>1299</v>
      </c>
      <c r="D296" s="122" t="s">
        <v>381</v>
      </c>
      <c r="E296" s="127"/>
      <c r="F296" s="127" t="s">
        <v>274</v>
      </c>
      <c r="G296" s="122">
        <v>2</v>
      </c>
      <c r="H296" s="122">
        <v>1</v>
      </c>
      <c r="I296" s="126">
        <v>298.5</v>
      </c>
      <c r="J296" s="126">
        <v>276.89999999999998</v>
      </c>
      <c r="K296" s="126">
        <v>238.8</v>
      </c>
      <c r="L296" s="124">
        <v>11</v>
      </c>
      <c r="M296" s="122" t="s">
        <v>272</v>
      </c>
      <c r="N296" s="122" t="s">
        <v>276</v>
      </c>
      <c r="O296" s="125" t="s">
        <v>1072</v>
      </c>
      <c r="P296" s="126">
        <v>211453.36</v>
      </c>
      <c r="Q296" s="126">
        <v>0</v>
      </c>
      <c r="R296" s="126">
        <v>0</v>
      </c>
      <c r="S296" s="126">
        <f t="shared" si="41"/>
        <v>211453.36</v>
      </c>
      <c r="T296" s="126">
        <f t="shared" si="27"/>
        <v>708.38646566164152</v>
      </c>
      <c r="U296" s="126">
        <v>849.44999999999993</v>
      </c>
    </row>
    <row r="297" spans="1:21" s="67" customFormat="1" ht="61.5" x14ac:dyDescent="0.9">
      <c r="B297" s="115" t="s">
        <v>874</v>
      </c>
      <c r="C297" s="115"/>
      <c r="D297" s="122" t="s">
        <v>943</v>
      </c>
      <c r="E297" s="122" t="s">
        <v>943</v>
      </c>
      <c r="F297" s="122" t="s">
        <v>943</v>
      </c>
      <c r="G297" s="122" t="s">
        <v>943</v>
      </c>
      <c r="H297" s="122" t="s">
        <v>943</v>
      </c>
      <c r="I297" s="123">
        <f>I298</f>
        <v>3504.3</v>
      </c>
      <c r="J297" s="123">
        <f t="shared" ref="J297:L297" si="42">J298</f>
        <v>3356</v>
      </c>
      <c r="K297" s="123">
        <f t="shared" si="42"/>
        <v>2316.9</v>
      </c>
      <c r="L297" s="124">
        <f t="shared" si="42"/>
        <v>153</v>
      </c>
      <c r="M297" s="122" t="s">
        <v>943</v>
      </c>
      <c r="N297" s="122" t="s">
        <v>943</v>
      </c>
      <c r="O297" s="125" t="s">
        <v>943</v>
      </c>
      <c r="P297" s="126">
        <v>3673115.64</v>
      </c>
      <c r="Q297" s="126">
        <f t="shared" ref="Q297:S297" si="43">Q298</f>
        <v>0</v>
      </c>
      <c r="R297" s="126">
        <f t="shared" si="43"/>
        <v>0</v>
      </c>
      <c r="S297" s="126">
        <f t="shared" si="43"/>
        <v>3673115.64</v>
      </c>
      <c r="T297" s="126">
        <f t="shared" si="27"/>
        <v>1048.1738549781696</v>
      </c>
      <c r="U297" s="126">
        <f>MAX(U298)</f>
        <v>1351.7168287532459</v>
      </c>
    </row>
    <row r="298" spans="1:21" s="67" customFormat="1" ht="61.5" x14ac:dyDescent="0.9">
      <c r="A298" s="67">
        <v>1</v>
      </c>
      <c r="B298" s="118">
        <f>SUBTOTAL(103,$A$16:A298)</f>
        <v>270</v>
      </c>
      <c r="C298" s="115" t="s">
        <v>727</v>
      </c>
      <c r="D298" s="122">
        <v>1984</v>
      </c>
      <c r="E298" s="127"/>
      <c r="F298" s="127" t="s">
        <v>346</v>
      </c>
      <c r="G298" s="122">
        <v>5</v>
      </c>
      <c r="H298" s="122">
        <v>4</v>
      </c>
      <c r="I298" s="126">
        <v>3504.3</v>
      </c>
      <c r="J298" s="126">
        <v>3356</v>
      </c>
      <c r="K298" s="126">
        <v>2316.9</v>
      </c>
      <c r="L298" s="124">
        <v>153</v>
      </c>
      <c r="M298" s="122" t="s">
        <v>272</v>
      </c>
      <c r="N298" s="122" t="s">
        <v>276</v>
      </c>
      <c r="O298" s="125" t="s">
        <v>1072</v>
      </c>
      <c r="P298" s="126">
        <v>3673115.64</v>
      </c>
      <c r="Q298" s="126">
        <v>0</v>
      </c>
      <c r="R298" s="126">
        <v>0</v>
      </c>
      <c r="S298" s="126">
        <f>P298-Q298-R298</f>
        <v>3673115.64</v>
      </c>
      <c r="T298" s="126">
        <f t="shared" si="27"/>
        <v>1048.1738549781696</v>
      </c>
      <c r="U298" s="126">
        <v>1351.7168287532459</v>
      </c>
    </row>
    <row r="299" spans="1:21" s="67" customFormat="1" ht="61.5" x14ac:dyDescent="0.9">
      <c r="B299" s="115" t="s">
        <v>875</v>
      </c>
      <c r="C299" s="115"/>
      <c r="D299" s="122" t="s">
        <v>943</v>
      </c>
      <c r="E299" s="122" t="s">
        <v>943</v>
      </c>
      <c r="F299" s="122" t="s">
        <v>943</v>
      </c>
      <c r="G299" s="122" t="s">
        <v>943</v>
      </c>
      <c r="H299" s="122" t="s">
        <v>943</v>
      </c>
      <c r="I299" s="123">
        <f>SUM(I300:I314)</f>
        <v>38675.9</v>
      </c>
      <c r="J299" s="123">
        <f t="shared" ref="J299:L299" si="44">SUM(J300:J314)</f>
        <v>30525.600000000002</v>
      </c>
      <c r="K299" s="123">
        <f t="shared" si="44"/>
        <v>28016.699999999997</v>
      </c>
      <c r="L299" s="124">
        <f t="shared" si="44"/>
        <v>1128</v>
      </c>
      <c r="M299" s="122" t="s">
        <v>943</v>
      </c>
      <c r="N299" s="122" t="s">
        <v>943</v>
      </c>
      <c r="O299" s="125" t="s">
        <v>943</v>
      </c>
      <c r="P299" s="126">
        <v>46347987.670000002</v>
      </c>
      <c r="Q299" s="126">
        <f t="shared" ref="Q299:S299" si="45">SUM(Q300:Q314)</f>
        <v>0</v>
      </c>
      <c r="R299" s="126">
        <f t="shared" si="45"/>
        <v>0</v>
      </c>
      <c r="S299" s="126">
        <f t="shared" si="45"/>
        <v>46347987.670000002</v>
      </c>
      <c r="T299" s="126">
        <f t="shared" si="27"/>
        <v>1198.3686913555987</v>
      </c>
      <c r="U299" s="126">
        <f>MAX(U300:U314)</f>
        <v>11900.690523193916</v>
      </c>
    </row>
    <row r="300" spans="1:21" s="67" customFormat="1" ht="61.5" x14ac:dyDescent="0.9">
      <c r="A300" s="67">
        <v>1</v>
      </c>
      <c r="B300" s="118">
        <f>SUBTOTAL(103,$A$16:A300)</f>
        <v>271</v>
      </c>
      <c r="C300" s="115" t="s">
        <v>731</v>
      </c>
      <c r="D300" s="122">
        <v>1981</v>
      </c>
      <c r="E300" s="127"/>
      <c r="F300" s="127" t="s">
        <v>274</v>
      </c>
      <c r="G300" s="122">
        <v>2</v>
      </c>
      <c r="H300" s="122">
        <v>3</v>
      </c>
      <c r="I300" s="126">
        <v>975</v>
      </c>
      <c r="J300" s="126">
        <v>901.5</v>
      </c>
      <c r="K300" s="126">
        <v>901.5</v>
      </c>
      <c r="L300" s="124">
        <v>42</v>
      </c>
      <c r="M300" s="122" t="s">
        <v>272</v>
      </c>
      <c r="N300" s="122" t="s">
        <v>273</v>
      </c>
      <c r="O300" s="125" t="s">
        <v>275</v>
      </c>
      <c r="P300" s="126">
        <v>3681369</v>
      </c>
      <c r="Q300" s="126">
        <v>0</v>
      </c>
      <c r="R300" s="126">
        <v>0</v>
      </c>
      <c r="S300" s="126">
        <f t="shared" ref="S300:S314" si="46">P300-Q300-R300</f>
        <v>3681369</v>
      </c>
      <c r="T300" s="126">
        <f t="shared" si="27"/>
        <v>3775.7630769230768</v>
      </c>
      <c r="U300" s="126">
        <v>4879.7352307692308</v>
      </c>
    </row>
    <row r="301" spans="1:21" s="67" customFormat="1" ht="61.5" x14ac:dyDescent="0.9">
      <c r="A301" s="67">
        <v>1</v>
      </c>
      <c r="B301" s="118">
        <f>SUBTOTAL(103,$A$16:A301)</f>
        <v>272</v>
      </c>
      <c r="C301" s="115" t="s">
        <v>715</v>
      </c>
      <c r="D301" s="122">
        <v>1976</v>
      </c>
      <c r="E301" s="127"/>
      <c r="F301" s="127" t="s">
        <v>274</v>
      </c>
      <c r="G301" s="122">
        <v>5</v>
      </c>
      <c r="H301" s="122">
        <v>2</v>
      </c>
      <c r="I301" s="126">
        <v>3568.3</v>
      </c>
      <c r="J301" s="126">
        <v>1111.4000000000001</v>
      </c>
      <c r="K301" s="126">
        <v>1111.4000000000001</v>
      </c>
      <c r="L301" s="124">
        <v>23</v>
      </c>
      <c r="M301" s="122" t="s">
        <v>272</v>
      </c>
      <c r="N301" s="122" t="s">
        <v>276</v>
      </c>
      <c r="O301" s="125" t="s">
        <v>765</v>
      </c>
      <c r="P301" s="126">
        <v>3020247.54</v>
      </c>
      <c r="Q301" s="126">
        <v>0</v>
      </c>
      <c r="R301" s="126">
        <v>0</v>
      </c>
      <c r="S301" s="126">
        <f t="shared" si="46"/>
        <v>3020247.54</v>
      </c>
      <c r="T301" s="126">
        <f t="shared" si="27"/>
        <v>846.41076703191993</v>
      </c>
      <c r="U301" s="126">
        <v>1503.5487907406887</v>
      </c>
    </row>
    <row r="302" spans="1:21" s="67" customFormat="1" ht="61.5" x14ac:dyDescent="0.9">
      <c r="A302" s="67">
        <v>1</v>
      </c>
      <c r="B302" s="118">
        <f>SUBTOTAL(103,$A$16:A302)</f>
        <v>273</v>
      </c>
      <c r="C302" s="115" t="s">
        <v>710</v>
      </c>
      <c r="D302" s="122">
        <v>1985</v>
      </c>
      <c r="E302" s="127"/>
      <c r="F302" s="127" t="s">
        <v>274</v>
      </c>
      <c r="G302" s="122">
        <v>9</v>
      </c>
      <c r="H302" s="122">
        <v>1</v>
      </c>
      <c r="I302" s="126">
        <v>4900.3</v>
      </c>
      <c r="J302" s="126">
        <v>4900</v>
      </c>
      <c r="K302" s="126">
        <v>4450.3</v>
      </c>
      <c r="L302" s="124">
        <v>123</v>
      </c>
      <c r="M302" s="122" t="s">
        <v>272</v>
      </c>
      <c r="N302" s="122" t="s">
        <v>276</v>
      </c>
      <c r="O302" s="125" t="s">
        <v>765</v>
      </c>
      <c r="P302" s="126">
        <v>2007413</v>
      </c>
      <c r="Q302" s="126">
        <v>0</v>
      </c>
      <c r="R302" s="126">
        <v>0</v>
      </c>
      <c r="S302" s="126">
        <f t="shared" si="46"/>
        <v>2007413</v>
      </c>
      <c r="T302" s="126">
        <f t="shared" si="27"/>
        <v>409.65104177295268</v>
      </c>
      <c r="U302" s="126">
        <v>458.80925657612795</v>
      </c>
    </row>
    <row r="303" spans="1:21" s="67" customFormat="1" ht="61.5" x14ac:dyDescent="0.9">
      <c r="A303" s="67">
        <v>1</v>
      </c>
      <c r="B303" s="118">
        <f>SUBTOTAL(103,$A$16:A303)</f>
        <v>274</v>
      </c>
      <c r="C303" s="115" t="s">
        <v>711</v>
      </c>
      <c r="D303" s="122">
        <v>1992</v>
      </c>
      <c r="E303" s="127"/>
      <c r="F303" s="127" t="s">
        <v>274</v>
      </c>
      <c r="G303" s="122">
        <v>9</v>
      </c>
      <c r="H303" s="122">
        <v>1</v>
      </c>
      <c r="I303" s="126">
        <v>4865.3</v>
      </c>
      <c r="J303" s="126">
        <v>4865.3</v>
      </c>
      <c r="K303" s="126">
        <v>4560</v>
      </c>
      <c r="L303" s="124">
        <v>111</v>
      </c>
      <c r="M303" s="122" t="s">
        <v>272</v>
      </c>
      <c r="N303" s="122" t="s">
        <v>276</v>
      </c>
      <c r="O303" s="125" t="s">
        <v>765</v>
      </c>
      <c r="P303" s="126">
        <v>2007413</v>
      </c>
      <c r="Q303" s="126">
        <v>0</v>
      </c>
      <c r="R303" s="126">
        <v>0</v>
      </c>
      <c r="S303" s="126">
        <f t="shared" si="46"/>
        <v>2007413</v>
      </c>
      <c r="T303" s="126">
        <f t="shared" si="27"/>
        <v>412.59798984646369</v>
      </c>
      <c r="U303" s="126">
        <v>462.10983906439481</v>
      </c>
    </row>
    <row r="304" spans="1:21" s="67" customFormat="1" ht="61.5" x14ac:dyDescent="0.9">
      <c r="A304" s="67">
        <v>1</v>
      </c>
      <c r="B304" s="118">
        <f>SUBTOTAL(103,$A$16:A304)</f>
        <v>275</v>
      </c>
      <c r="C304" s="115" t="s">
        <v>712</v>
      </c>
      <c r="D304" s="122">
        <v>1982</v>
      </c>
      <c r="E304" s="127"/>
      <c r="F304" s="127" t="s">
        <v>274</v>
      </c>
      <c r="G304" s="122">
        <v>9</v>
      </c>
      <c r="H304" s="122">
        <v>1</v>
      </c>
      <c r="I304" s="126">
        <v>4912.2</v>
      </c>
      <c r="J304" s="126">
        <v>2437.9</v>
      </c>
      <c r="K304" s="126">
        <v>2009.8</v>
      </c>
      <c r="L304" s="124">
        <v>134</v>
      </c>
      <c r="M304" s="122" t="s">
        <v>272</v>
      </c>
      <c r="N304" s="122" t="s">
        <v>276</v>
      </c>
      <c r="O304" s="125" t="s">
        <v>765</v>
      </c>
      <c r="P304" s="126">
        <v>2007413</v>
      </c>
      <c r="Q304" s="126">
        <v>0</v>
      </c>
      <c r="R304" s="126">
        <v>0</v>
      </c>
      <c r="S304" s="126">
        <f t="shared" si="46"/>
        <v>2007413</v>
      </c>
      <c r="T304" s="126">
        <f t="shared" si="27"/>
        <v>408.65864582060993</v>
      </c>
      <c r="U304" s="126">
        <v>457.69777289198322</v>
      </c>
    </row>
    <row r="305" spans="1:21" s="67" customFormat="1" ht="61.5" x14ac:dyDescent="0.9">
      <c r="A305" s="67">
        <v>1</v>
      </c>
      <c r="B305" s="118">
        <f>SUBTOTAL(103,$A$16:A305)</f>
        <v>276</v>
      </c>
      <c r="C305" s="115" t="s">
        <v>705</v>
      </c>
      <c r="D305" s="122">
        <v>1994</v>
      </c>
      <c r="E305" s="127"/>
      <c r="F305" s="127" t="s">
        <v>274</v>
      </c>
      <c r="G305" s="122">
        <v>9</v>
      </c>
      <c r="H305" s="122">
        <v>1</v>
      </c>
      <c r="I305" s="126">
        <v>4455.3</v>
      </c>
      <c r="J305" s="126">
        <v>3825.3</v>
      </c>
      <c r="K305" s="126">
        <v>3825.3</v>
      </c>
      <c r="L305" s="124">
        <v>122</v>
      </c>
      <c r="M305" s="122" t="s">
        <v>272</v>
      </c>
      <c r="N305" s="122" t="s">
        <v>351</v>
      </c>
      <c r="O305" s="125" t="s">
        <v>766</v>
      </c>
      <c r="P305" s="126">
        <v>4014826</v>
      </c>
      <c r="Q305" s="126">
        <v>0</v>
      </c>
      <c r="R305" s="126">
        <v>0</v>
      </c>
      <c r="S305" s="126">
        <f t="shared" si="46"/>
        <v>4014826</v>
      </c>
      <c r="T305" s="126">
        <f t="shared" si="27"/>
        <v>901.13482818216505</v>
      </c>
      <c r="U305" s="126">
        <v>1009.2712050815882</v>
      </c>
    </row>
    <row r="306" spans="1:21" s="67" customFormat="1" ht="61.5" x14ac:dyDescent="0.9">
      <c r="A306" s="67">
        <v>1</v>
      </c>
      <c r="B306" s="118">
        <f>SUBTOTAL(103,$A$16:A306)</f>
        <v>277</v>
      </c>
      <c r="C306" s="115" t="s">
        <v>718</v>
      </c>
      <c r="D306" s="122">
        <v>1917</v>
      </c>
      <c r="E306" s="127"/>
      <c r="F306" s="127" t="s">
        <v>274</v>
      </c>
      <c r="G306" s="122">
        <v>2</v>
      </c>
      <c r="H306" s="122">
        <v>1</v>
      </c>
      <c r="I306" s="126">
        <v>722.2</v>
      </c>
      <c r="J306" s="126">
        <v>298.5</v>
      </c>
      <c r="K306" s="126">
        <v>298.5</v>
      </c>
      <c r="L306" s="124">
        <v>8</v>
      </c>
      <c r="M306" s="122" t="s">
        <v>272</v>
      </c>
      <c r="N306" s="122" t="s">
        <v>273</v>
      </c>
      <c r="O306" s="125" t="s">
        <v>275</v>
      </c>
      <c r="P306" s="126">
        <v>2717424.7199999997</v>
      </c>
      <c r="Q306" s="126">
        <v>0</v>
      </c>
      <c r="R306" s="126">
        <v>0</v>
      </c>
      <c r="S306" s="126">
        <f t="shared" si="46"/>
        <v>2717424.7199999997</v>
      </c>
      <c r="T306" s="126">
        <f t="shared" si="27"/>
        <v>3762.70384934921</v>
      </c>
      <c r="U306" s="126">
        <v>4862.8576959291049</v>
      </c>
    </row>
    <row r="307" spans="1:21" s="67" customFormat="1" ht="61.5" x14ac:dyDescent="0.9">
      <c r="A307" s="67">
        <v>1</v>
      </c>
      <c r="B307" s="118">
        <f>SUBTOTAL(103,$A$16:A307)</f>
        <v>278</v>
      </c>
      <c r="C307" s="115" t="s">
        <v>706</v>
      </c>
      <c r="D307" s="122">
        <v>1963</v>
      </c>
      <c r="E307" s="127"/>
      <c r="F307" s="127" t="s">
        <v>274</v>
      </c>
      <c r="G307" s="122">
        <v>3</v>
      </c>
      <c r="H307" s="122">
        <v>3</v>
      </c>
      <c r="I307" s="126">
        <v>1703.8</v>
      </c>
      <c r="J307" s="126">
        <v>1339.8</v>
      </c>
      <c r="K307" s="126">
        <v>1300</v>
      </c>
      <c r="L307" s="124">
        <v>56</v>
      </c>
      <c r="M307" s="122" t="s">
        <v>272</v>
      </c>
      <c r="N307" s="122" t="s">
        <v>276</v>
      </c>
      <c r="O307" s="125" t="s">
        <v>767</v>
      </c>
      <c r="P307" s="126">
        <v>3885966.56</v>
      </c>
      <c r="Q307" s="126">
        <v>0</v>
      </c>
      <c r="R307" s="126">
        <v>0</v>
      </c>
      <c r="S307" s="126">
        <f t="shared" si="46"/>
        <v>3885966.56</v>
      </c>
      <c r="T307" s="126">
        <f t="shared" si="27"/>
        <v>2280.7645028759243</v>
      </c>
      <c r="U307" s="126">
        <v>3005.5258340180767</v>
      </c>
    </row>
    <row r="308" spans="1:21" s="67" customFormat="1" ht="61.5" x14ac:dyDescent="0.9">
      <c r="A308" s="67">
        <v>1</v>
      </c>
      <c r="B308" s="118">
        <f>SUBTOTAL(103,$A$16:A308)</f>
        <v>279</v>
      </c>
      <c r="C308" s="115" t="s">
        <v>702</v>
      </c>
      <c r="D308" s="122">
        <v>1927</v>
      </c>
      <c r="E308" s="127"/>
      <c r="F308" s="127" t="s">
        <v>274</v>
      </c>
      <c r="G308" s="122">
        <v>2</v>
      </c>
      <c r="H308" s="122">
        <v>2</v>
      </c>
      <c r="I308" s="126">
        <v>525.4</v>
      </c>
      <c r="J308" s="126">
        <v>408.7</v>
      </c>
      <c r="K308" s="126">
        <v>282</v>
      </c>
      <c r="L308" s="124">
        <v>32</v>
      </c>
      <c r="M308" s="122" t="s">
        <v>272</v>
      </c>
      <c r="N308" s="122" t="s">
        <v>273</v>
      </c>
      <c r="O308" s="125" t="s">
        <v>275</v>
      </c>
      <c r="P308" s="126">
        <v>2213600.19</v>
      </c>
      <c r="Q308" s="126">
        <v>0</v>
      </c>
      <c r="R308" s="126">
        <v>0</v>
      </c>
      <c r="S308" s="126">
        <f t="shared" si="46"/>
        <v>2213600.19</v>
      </c>
      <c r="T308" s="126">
        <f t="shared" si="27"/>
        <v>4213.1712790255042</v>
      </c>
      <c r="U308" s="126">
        <v>10323.615105062809</v>
      </c>
    </row>
    <row r="309" spans="1:21" s="67" customFormat="1" ht="61.5" x14ac:dyDescent="0.9">
      <c r="A309" s="67">
        <v>1</v>
      </c>
      <c r="B309" s="118">
        <f>SUBTOTAL(103,$A$16:A309)</f>
        <v>280</v>
      </c>
      <c r="C309" s="115" t="s">
        <v>1288</v>
      </c>
      <c r="D309" s="122">
        <v>1927</v>
      </c>
      <c r="E309" s="127"/>
      <c r="F309" s="127" t="s">
        <v>274</v>
      </c>
      <c r="G309" s="122">
        <v>2</v>
      </c>
      <c r="H309" s="122">
        <v>2</v>
      </c>
      <c r="I309" s="126">
        <v>462</v>
      </c>
      <c r="J309" s="126">
        <v>443.2</v>
      </c>
      <c r="K309" s="126">
        <v>442.1</v>
      </c>
      <c r="L309" s="124">
        <v>37</v>
      </c>
      <c r="M309" s="122" t="s">
        <v>272</v>
      </c>
      <c r="N309" s="122" t="s">
        <v>276</v>
      </c>
      <c r="O309" s="125" t="s">
        <v>1405</v>
      </c>
      <c r="P309" s="126">
        <v>1981043.05</v>
      </c>
      <c r="Q309" s="126">
        <v>0</v>
      </c>
      <c r="R309" s="126">
        <v>0</v>
      </c>
      <c r="S309" s="126">
        <f t="shared" si="46"/>
        <v>1981043.05</v>
      </c>
      <c r="T309" s="126">
        <f t="shared" si="27"/>
        <v>4287.9719696969696</v>
      </c>
      <c r="U309" s="126">
        <v>5956.8546450216445</v>
      </c>
    </row>
    <row r="310" spans="1:21" s="67" customFormat="1" ht="61.5" x14ac:dyDescent="0.9">
      <c r="A310" s="67">
        <v>1</v>
      </c>
      <c r="B310" s="118">
        <f>SUBTOTAL(103,$A$16:A310)</f>
        <v>281</v>
      </c>
      <c r="C310" s="115" t="s">
        <v>1289</v>
      </c>
      <c r="D310" s="122">
        <v>1965</v>
      </c>
      <c r="E310" s="127"/>
      <c r="F310" s="127" t="s">
        <v>274</v>
      </c>
      <c r="G310" s="122">
        <v>2</v>
      </c>
      <c r="H310" s="122">
        <v>2</v>
      </c>
      <c r="I310" s="126">
        <v>1070</v>
      </c>
      <c r="J310" s="126">
        <v>916.2</v>
      </c>
      <c r="K310" s="126">
        <v>310.5</v>
      </c>
      <c r="L310" s="124">
        <v>13</v>
      </c>
      <c r="M310" s="122" t="s">
        <v>272</v>
      </c>
      <c r="N310" s="122" t="s">
        <v>273</v>
      </c>
      <c r="O310" s="125" t="s">
        <v>275</v>
      </c>
      <c r="P310" s="126">
        <v>4741640.8400000008</v>
      </c>
      <c r="Q310" s="126">
        <v>0</v>
      </c>
      <c r="R310" s="126">
        <v>0</v>
      </c>
      <c r="S310" s="126">
        <f t="shared" si="46"/>
        <v>4741640.8400000008</v>
      </c>
      <c r="T310" s="126">
        <f t="shared" si="27"/>
        <v>4431.4400373831786</v>
      </c>
      <c r="U310" s="126">
        <v>6013.7957897196266</v>
      </c>
    </row>
    <row r="311" spans="1:21" s="67" customFormat="1" ht="61.5" x14ac:dyDescent="0.9">
      <c r="A311" s="67">
        <v>1</v>
      </c>
      <c r="B311" s="118">
        <f>SUBTOTAL(103,$A$16:A311)</f>
        <v>282</v>
      </c>
      <c r="C311" s="115" t="s">
        <v>1294</v>
      </c>
      <c r="D311" s="122" t="s">
        <v>339</v>
      </c>
      <c r="E311" s="127">
        <v>2016</v>
      </c>
      <c r="F311" s="127" t="s">
        <v>274</v>
      </c>
      <c r="G311" s="122">
        <v>9</v>
      </c>
      <c r="H311" s="122">
        <v>4</v>
      </c>
      <c r="I311" s="126">
        <v>8964.1</v>
      </c>
      <c r="J311" s="126">
        <v>7909.1</v>
      </c>
      <c r="K311" s="126">
        <v>7405.7</v>
      </c>
      <c r="L311" s="124">
        <v>329</v>
      </c>
      <c r="M311" s="122" t="s">
        <v>272</v>
      </c>
      <c r="N311" s="122" t="s">
        <v>276</v>
      </c>
      <c r="O311" s="125" t="s">
        <v>1438</v>
      </c>
      <c r="P311" s="126">
        <v>7625051.5</v>
      </c>
      <c r="Q311" s="126">
        <v>0</v>
      </c>
      <c r="R311" s="126">
        <v>0</v>
      </c>
      <c r="S311" s="126">
        <f t="shared" si="46"/>
        <v>7625051.5</v>
      </c>
      <c r="T311" s="126">
        <f t="shared" si="27"/>
        <v>850.62097700828861</v>
      </c>
      <c r="U311" s="126">
        <v>1003.2476210662531</v>
      </c>
    </row>
    <row r="312" spans="1:21" s="67" customFormat="1" ht="61.5" x14ac:dyDescent="0.9">
      <c r="A312" s="67">
        <v>1</v>
      </c>
      <c r="B312" s="118">
        <f>SUBTOTAL(103,$A$16:A312)</f>
        <v>283</v>
      </c>
      <c r="C312" s="115" t="s">
        <v>1295</v>
      </c>
      <c r="D312" s="122" t="s">
        <v>392</v>
      </c>
      <c r="E312" s="127"/>
      <c r="F312" s="127" t="s">
        <v>274</v>
      </c>
      <c r="G312" s="122">
        <v>2</v>
      </c>
      <c r="H312" s="122">
        <v>2</v>
      </c>
      <c r="I312" s="126">
        <v>263</v>
      </c>
      <c r="J312" s="126">
        <v>259.2</v>
      </c>
      <c r="K312" s="126">
        <v>255.1</v>
      </c>
      <c r="L312" s="124">
        <v>21</v>
      </c>
      <c r="M312" s="122" t="s">
        <v>272</v>
      </c>
      <c r="N312" s="122" t="s">
        <v>273</v>
      </c>
      <c r="O312" s="125" t="s">
        <v>275</v>
      </c>
      <c r="P312" s="126">
        <v>964103.66999999993</v>
      </c>
      <c r="Q312" s="126">
        <v>0</v>
      </c>
      <c r="R312" s="126">
        <v>0</v>
      </c>
      <c r="S312" s="126">
        <f t="shared" si="46"/>
        <v>964103.66999999993</v>
      </c>
      <c r="T312" s="126">
        <f t="shared" si="27"/>
        <v>3665.7934220532316</v>
      </c>
      <c r="U312" s="126">
        <v>11900.690523193916</v>
      </c>
    </row>
    <row r="313" spans="1:21" s="67" customFormat="1" ht="61.5" x14ac:dyDescent="0.9">
      <c r="A313" s="67">
        <v>1</v>
      </c>
      <c r="B313" s="118">
        <f>SUBTOTAL(103,$A$16:A313)</f>
        <v>284</v>
      </c>
      <c r="C313" s="115" t="s">
        <v>1296</v>
      </c>
      <c r="D313" s="122" t="s">
        <v>366</v>
      </c>
      <c r="E313" s="127"/>
      <c r="F313" s="127" t="s">
        <v>274</v>
      </c>
      <c r="G313" s="122">
        <v>2</v>
      </c>
      <c r="H313" s="122">
        <v>1</v>
      </c>
      <c r="I313" s="126">
        <v>301</v>
      </c>
      <c r="J313" s="126">
        <v>282.39999999999998</v>
      </c>
      <c r="K313" s="126">
        <v>282.39999999999998</v>
      </c>
      <c r="L313" s="124">
        <v>22</v>
      </c>
      <c r="M313" s="122" t="s">
        <v>272</v>
      </c>
      <c r="N313" s="122" t="s">
        <v>276</v>
      </c>
      <c r="O313" s="125" t="s">
        <v>767</v>
      </c>
      <c r="P313" s="126">
        <v>1832686.35</v>
      </c>
      <c r="Q313" s="126">
        <v>0</v>
      </c>
      <c r="R313" s="126">
        <v>0</v>
      </c>
      <c r="S313" s="126">
        <f t="shared" si="46"/>
        <v>1832686.35</v>
      </c>
      <c r="T313" s="126">
        <f t="shared" si="27"/>
        <v>6088.6589700996683</v>
      </c>
      <c r="U313" s="126">
        <v>9785.3619860465114</v>
      </c>
    </row>
    <row r="314" spans="1:21" s="67" customFormat="1" ht="61.5" x14ac:dyDescent="0.9">
      <c r="A314" s="67">
        <v>1</v>
      </c>
      <c r="B314" s="118">
        <f>SUBTOTAL(103,$A$16:A314)</f>
        <v>285</v>
      </c>
      <c r="C314" s="115" t="s">
        <v>1297</v>
      </c>
      <c r="D314" s="122">
        <v>1957</v>
      </c>
      <c r="E314" s="127"/>
      <c r="F314" s="127" t="s">
        <v>274</v>
      </c>
      <c r="G314" s="122">
        <v>2</v>
      </c>
      <c r="H314" s="122">
        <v>3</v>
      </c>
      <c r="I314" s="126">
        <v>988</v>
      </c>
      <c r="J314" s="126">
        <v>627.1</v>
      </c>
      <c r="K314" s="126">
        <v>582.1</v>
      </c>
      <c r="L314" s="124">
        <v>55</v>
      </c>
      <c r="M314" s="122" t="s">
        <v>272</v>
      </c>
      <c r="N314" s="122" t="s">
        <v>276</v>
      </c>
      <c r="O314" s="125" t="s">
        <v>1147</v>
      </c>
      <c r="P314" s="126">
        <v>3647789.2499999995</v>
      </c>
      <c r="Q314" s="126">
        <v>0</v>
      </c>
      <c r="R314" s="126">
        <v>0</v>
      </c>
      <c r="S314" s="126">
        <f t="shared" si="46"/>
        <v>3647789.2499999995</v>
      </c>
      <c r="T314" s="126">
        <f t="shared" si="27"/>
        <v>3692.0943825910927</v>
      </c>
      <c r="U314" s="126">
        <v>4954.8711315789469</v>
      </c>
    </row>
    <row r="315" spans="1:21" s="67" customFormat="1" ht="61.5" x14ac:dyDescent="0.9">
      <c r="B315" s="115" t="s">
        <v>876</v>
      </c>
      <c r="C315" s="119"/>
      <c r="D315" s="122" t="s">
        <v>943</v>
      </c>
      <c r="E315" s="122" t="s">
        <v>943</v>
      </c>
      <c r="F315" s="122" t="s">
        <v>943</v>
      </c>
      <c r="G315" s="122" t="s">
        <v>943</v>
      </c>
      <c r="H315" s="122" t="s">
        <v>943</v>
      </c>
      <c r="I315" s="123">
        <f>SUM(I316:I327)</f>
        <v>10156.500000000002</v>
      </c>
      <c r="J315" s="123">
        <f t="shared" ref="J315:L315" si="47">SUM(J316:J327)</f>
        <v>7659.1</v>
      </c>
      <c r="K315" s="123">
        <f t="shared" si="47"/>
        <v>6256.4989999999998</v>
      </c>
      <c r="L315" s="124">
        <f t="shared" si="47"/>
        <v>671</v>
      </c>
      <c r="M315" s="122" t="s">
        <v>943</v>
      </c>
      <c r="N315" s="122" t="s">
        <v>943</v>
      </c>
      <c r="O315" s="125" t="s">
        <v>943</v>
      </c>
      <c r="P315" s="126">
        <v>28193954.82</v>
      </c>
      <c r="Q315" s="126">
        <f t="shared" ref="Q315:S315" si="48">SUM(Q316:Q327)</f>
        <v>0</v>
      </c>
      <c r="R315" s="126">
        <f t="shared" si="48"/>
        <v>0</v>
      </c>
      <c r="S315" s="126">
        <f t="shared" si="48"/>
        <v>28193954.82</v>
      </c>
      <c r="T315" s="126">
        <f t="shared" si="27"/>
        <v>2775.9518357701959</v>
      </c>
      <c r="U315" s="126">
        <f>MAX(U316:U327)</f>
        <v>12960.807892227978</v>
      </c>
    </row>
    <row r="316" spans="1:21" s="67" customFormat="1" ht="61.5" x14ac:dyDescent="0.9">
      <c r="A316" s="67">
        <v>1</v>
      </c>
      <c r="B316" s="118">
        <f>SUBTOTAL(103,$A$16:A316)</f>
        <v>286</v>
      </c>
      <c r="C316" s="115" t="s">
        <v>237</v>
      </c>
      <c r="D316" s="122">
        <v>1970</v>
      </c>
      <c r="E316" s="127"/>
      <c r="F316" s="127" t="s">
        <v>274</v>
      </c>
      <c r="G316" s="122">
        <v>2</v>
      </c>
      <c r="H316" s="122">
        <v>1</v>
      </c>
      <c r="I316" s="126">
        <v>404.7</v>
      </c>
      <c r="J316" s="126">
        <v>318.7</v>
      </c>
      <c r="K316" s="126">
        <v>318.7</v>
      </c>
      <c r="L316" s="124">
        <v>25</v>
      </c>
      <c r="M316" s="122" t="s">
        <v>272</v>
      </c>
      <c r="N316" s="122" t="s">
        <v>276</v>
      </c>
      <c r="O316" s="125" t="s">
        <v>343</v>
      </c>
      <c r="P316" s="126">
        <v>1625370</v>
      </c>
      <c r="Q316" s="126">
        <v>0</v>
      </c>
      <c r="R316" s="126">
        <v>0</v>
      </c>
      <c r="S316" s="126">
        <f t="shared" ref="S316:S327" si="49">P316-Q316-R316</f>
        <v>1625370</v>
      </c>
      <c r="T316" s="126">
        <f t="shared" si="27"/>
        <v>4016.2342475908081</v>
      </c>
      <c r="U316" s="126">
        <v>5314.4780306399798</v>
      </c>
    </row>
    <row r="317" spans="1:21" s="67" customFormat="1" ht="61.5" x14ac:dyDescent="0.9">
      <c r="A317" s="67">
        <v>1</v>
      </c>
      <c r="B317" s="118">
        <f>SUBTOTAL(103,$A$16:A317)</f>
        <v>287</v>
      </c>
      <c r="C317" s="115" t="s">
        <v>239</v>
      </c>
      <c r="D317" s="122">
        <v>1964</v>
      </c>
      <c r="E317" s="127"/>
      <c r="F317" s="127" t="s">
        <v>274</v>
      </c>
      <c r="G317" s="122">
        <v>2</v>
      </c>
      <c r="H317" s="122">
        <v>2</v>
      </c>
      <c r="I317" s="126">
        <v>604.29999999999995</v>
      </c>
      <c r="J317" s="126">
        <v>596.20000000000005</v>
      </c>
      <c r="K317" s="126">
        <v>596.20000000000005</v>
      </c>
      <c r="L317" s="124">
        <v>25</v>
      </c>
      <c r="M317" s="122" t="s">
        <v>272</v>
      </c>
      <c r="N317" s="122" t="s">
        <v>276</v>
      </c>
      <c r="O317" s="125" t="s">
        <v>344</v>
      </c>
      <c r="P317" s="126">
        <v>2586000</v>
      </c>
      <c r="Q317" s="126">
        <v>0</v>
      </c>
      <c r="R317" s="126">
        <v>0</v>
      </c>
      <c r="S317" s="126">
        <f t="shared" si="49"/>
        <v>2586000</v>
      </c>
      <c r="T317" s="126">
        <f t="shared" si="27"/>
        <v>4279.3314578851569</v>
      </c>
      <c r="U317" s="126">
        <v>5611.7741717689896</v>
      </c>
    </row>
    <row r="318" spans="1:21" s="67" customFormat="1" ht="61.5" x14ac:dyDescent="0.9">
      <c r="A318" s="67">
        <v>1</v>
      </c>
      <c r="B318" s="118">
        <f>SUBTOTAL(103,$A$16:A318)</f>
        <v>288</v>
      </c>
      <c r="C318" s="115" t="s">
        <v>242</v>
      </c>
      <c r="D318" s="122">
        <v>1961</v>
      </c>
      <c r="E318" s="127"/>
      <c r="F318" s="127" t="s">
        <v>346</v>
      </c>
      <c r="G318" s="122">
        <v>2</v>
      </c>
      <c r="H318" s="122">
        <v>2</v>
      </c>
      <c r="I318" s="126">
        <v>605.1</v>
      </c>
      <c r="J318" s="126">
        <v>560.20000000000005</v>
      </c>
      <c r="K318" s="126">
        <v>521</v>
      </c>
      <c r="L318" s="124">
        <v>28</v>
      </c>
      <c r="M318" s="122" t="s">
        <v>272</v>
      </c>
      <c r="N318" s="122" t="s">
        <v>276</v>
      </c>
      <c r="O318" s="125" t="s">
        <v>343</v>
      </c>
      <c r="P318" s="126">
        <v>2367930</v>
      </c>
      <c r="Q318" s="126">
        <v>0</v>
      </c>
      <c r="R318" s="126">
        <v>0</v>
      </c>
      <c r="S318" s="126">
        <f t="shared" si="49"/>
        <v>2367930</v>
      </c>
      <c r="T318" s="126">
        <f t="shared" si="27"/>
        <v>3913.2870599900843</v>
      </c>
      <c r="U318" s="126">
        <v>5178.2532655759378</v>
      </c>
    </row>
    <row r="319" spans="1:21" s="67" customFormat="1" ht="61.5" x14ac:dyDescent="0.9">
      <c r="A319" s="67">
        <v>1</v>
      </c>
      <c r="B319" s="118">
        <f>SUBTOTAL(103,$A$16:A319)</f>
        <v>289</v>
      </c>
      <c r="C319" s="115" t="s">
        <v>243</v>
      </c>
      <c r="D319" s="122">
        <v>1917</v>
      </c>
      <c r="E319" s="127"/>
      <c r="F319" s="127" t="s">
        <v>274</v>
      </c>
      <c r="G319" s="122">
        <v>2</v>
      </c>
      <c r="H319" s="122">
        <v>2</v>
      </c>
      <c r="I319" s="126">
        <v>336.7</v>
      </c>
      <c r="J319" s="126">
        <v>304.3</v>
      </c>
      <c r="K319" s="126">
        <v>304.3</v>
      </c>
      <c r="L319" s="124">
        <v>13</v>
      </c>
      <c r="M319" s="122" t="s">
        <v>272</v>
      </c>
      <c r="N319" s="122" t="s">
        <v>276</v>
      </c>
      <c r="O319" s="125" t="s">
        <v>343</v>
      </c>
      <c r="P319" s="126">
        <v>1382100</v>
      </c>
      <c r="Q319" s="126">
        <v>0</v>
      </c>
      <c r="R319" s="126">
        <v>0</v>
      </c>
      <c r="S319" s="126">
        <f t="shared" si="49"/>
        <v>1382100</v>
      </c>
      <c r="T319" s="126">
        <f t="shared" si="27"/>
        <v>4104.8411048411053</v>
      </c>
      <c r="U319" s="126">
        <v>5431.726967626968</v>
      </c>
    </row>
    <row r="320" spans="1:21" s="67" customFormat="1" ht="61.5" x14ac:dyDescent="0.9">
      <c r="A320" s="67">
        <v>1</v>
      </c>
      <c r="B320" s="118">
        <f>SUBTOTAL(103,$A$16:A320)</f>
        <v>290</v>
      </c>
      <c r="C320" s="115" t="s">
        <v>238</v>
      </c>
      <c r="D320" s="128">
        <v>1970</v>
      </c>
      <c r="E320" s="127"/>
      <c r="F320" s="127" t="s">
        <v>274</v>
      </c>
      <c r="G320" s="122">
        <v>2</v>
      </c>
      <c r="H320" s="122">
        <v>1</v>
      </c>
      <c r="I320" s="126">
        <v>352</v>
      </c>
      <c r="J320" s="126">
        <v>321</v>
      </c>
      <c r="K320" s="126">
        <v>321</v>
      </c>
      <c r="L320" s="124">
        <v>20</v>
      </c>
      <c r="M320" s="122" t="s">
        <v>272</v>
      </c>
      <c r="N320" s="122" t="s">
        <v>276</v>
      </c>
      <c r="O320" s="125" t="s">
        <v>345</v>
      </c>
      <c r="P320" s="126">
        <v>1066818</v>
      </c>
      <c r="Q320" s="126">
        <v>0</v>
      </c>
      <c r="R320" s="126">
        <v>0</v>
      </c>
      <c r="S320" s="126">
        <f t="shared" si="49"/>
        <v>1066818</v>
      </c>
      <c r="T320" s="126">
        <f t="shared" si="27"/>
        <v>3030.7329545454545</v>
      </c>
      <c r="U320" s="126">
        <v>4010.4144107954544</v>
      </c>
    </row>
    <row r="321" spans="1:21" s="67" customFormat="1" ht="61.5" x14ac:dyDescent="0.9">
      <c r="A321" s="67">
        <v>1</v>
      </c>
      <c r="B321" s="118">
        <f>SUBTOTAL(103,$A$16:A321)</f>
        <v>291</v>
      </c>
      <c r="C321" s="115" t="s">
        <v>245</v>
      </c>
      <c r="D321" s="122">
        <v>1972</v>
      </c>
      <c r="E321" s="127"/>
      <c r="F321" s="127" t="s">
        <v>274</v>
      </c>
      <c r="G321" s="122">
        <v>2</v>
      </c>
      <c r="H321" s="122">
        <v>3</v>
      </c>
      <c r="I321" s="126">
        <v>899</v>
      </c>
      <c r="J321" s="126">
        <v>845</v>
      </c>
      <c r="K321" s="126">
        <v>845</v>
      </c>
      <c r="L321" s="124">
        <v>42</v>
      </c>
      <c r="M321" s="122" t="s">
        <v>272</v>
      </c>
      <c r="N321" s="122" t="s">
        <v>276</v>
      </c>
      <c r="O321" s="125" t="s">
        <v>343</v>
      </c>
      <c r="P321" s="126">
        <v>2750940</v>
      </c>
      <c r="Q321" s="126">
        <v>0</v>
      </c>
      <c r="R321" s="126">
        <v>0</v>
      </c>
      <c r="S321" s="126">
        <f t="shared" si="49"/>
        <v>2750940</v>
      </c>
      <c r="T321" s="126">
        <f t="shared" si="27"/>
        <v>3060</v>
      </c>
      <c r="U321" s="126">
        <v>4049.1419999999998</v>
      </c>
    </row>
    <row r="322" spans="1:21" s="67" customFormat="1" ht="61.5" x14ac:dyDescent="0.9">
      <c r="A322" s="67">
        <v>1</v>
      </c>
      <c r="B322" s="118">
        <f>SUBTOTAL(103,$A$16:A322)</f>
        <v>292</v>
      </c>
      <c r="C322" s="115" t="s">
        <v>1300</v>
      </c>
      <c r="D322" s="122">
        <v>1959</v>
      </c>
      <c r="E322" s="127"/>
      <c r="F322" s="127" t="s">
        <v>346</v>
      </c>
      <c r="G322" s="122">
        <v>2</v>
      </c>
      <c r="H322" s="122">
        <v>2</v>
      </c>
      <c r="I322" s="126">
        <v>654.4</v>
      </c>
      <c r="J322" s="126">
        <v>551.4</v>
      </c>
      <c r="K322" s="126">
        <v>551.4</v>
      </c>
      <c r="L322" s="124">
        <v>22</v>
      </c>
      <c r="M322" s="122" t="s">
        <v>272</v>
      </c>
      <c r="N322" s="122" t="s">
        <v>276</v>
      </c>
      <c r="O322" s="125" t="s">
        <v>344</v>
      </c>
      <c r="P322" s="126">
        <v>2857556.7199999997</v>
      </c>
      <c r="Q322" s="126">
        <v>0</v>
      </c>
      <c r="R322" s="126">
        <v>0</v>
      </c>
      <c r="S322" s="126">
        <f t="shared" si="49"/>
        <v>2857556.7199999997</v>
      </c>
      <c r="T322" s="126">
        <f t="shared" si="27"/>
        <v>4366.6820293398532</v>
      </c>
      <c r="U322" s="126">
        <v>7805.4750152811748</v>
      </c>
    </row>
    <row r="323" spans="1:21" s="67" customFormat="1" ht="61.5" x14ac:dyDescent="0.9">
      <c r="A323" s="67">
        <v>1</v>
      </c>
      <c r="B323" s="118">
        <f>SUBTOTAL(103,$A$16:A323)</f>
        <v>293</v>
      </c>
      <c r="C323" s="115" t="s">
        <v>1301</v>
      </c>
      <c r="D323" s="122">
        <v>1977</v>
      </c>
      <c r="E323" s="127"/>
      <c r="F323" s="127" t="s">
        <v>274</v>
      </c>
      <c r="G323" s="122">
        <v>5</v>
      </c>
      <c r="H323" s="122">
        <v>1</v>
      </c>
      <c r="I323" s="126">
        <v>3819</v>
      </c>
      <c r="J323" s="126">
        <v>1968.3</v>
      </c>
      <c r="K323" s="126">
        <v>764.2</v>
      </c>
      <c r="L323" s="124">
        <v>379</v>
      </c>
      <c r="M323" s="122" t="s">
        <v>272</v>
      </c>
      <c r="N323" s="122" t="s">
        <v>276</v>
      </c>
      <c r="O323" s="125" t="s">
        <v>1409</v>
      </c>
      <c r="P323" s="126">
        <v>3830979.3</v>
      </c>
      <c r="Q323" s="126">
        <v>0</v>
      </c>
      <c r="R323" s="126">
        <v>0</v>
      </c>
      <c r="S323" s="126">
        <f t="shared" si="49"/>
        <v>3830979.3</v>
      </c>
      <c r="T323" s="126">
        <f t="shared" si="27"/>
        <v>1003.1367635506676</v>
      </c>
      <c r="U323" s="126">
        <v>1003.1367635506676</v>
      </c>
    </row>
    <row r="324" spans="1:21" s="67" customFormat="1" ht="61.5" x14ac:dyDescent="0.9">
      <c r="A324" s="67">
        <v>1</v>
      </c>
      <c r="B324" s="118">
        <f>SUBTOTAL(103,$A$16:A324)</f>
        <v>294</v>
      </c>
      <c r="C324" s="115" t="s">
        <v>1302</v>
      </c>
      <c r="D324" s="122">
        <v>1951</v>
      </c>
      <c r="E324" s="127"/>
      <c r="F324" s="127" t="s">
        <v>346</v>
      </c>
      <c r="G324" s="122">
        <v>2</v>
      </c>
      <c r="H324" s="122">
        <v>2</v>
      </c>
      <c r="I324" s="126">
        <v>859.4</v>
      </c>
      <c r="J324" s="126">
        <v>766.5</v>
      </c>
      <c r="K324" s="126">
        <v>697.3</v>
      </c>
      <c r="L324" s="124">
        <v>43</v>
      </c>
      <c r="M324" s="122" t="s">
        <v>272</v>
      </c>
      <c r="N324" s="122" t="s">
        <v>276</v>
      </c>
      <c r="O324" s="125" t="s">
        <v>343</v>
      </c>
      <c r="P324" s="126">
        <v>3691588.77</v>
      </c>
      <c r="Q324" s="126">
        <v>0</v>
      </c>
      <c r="R324" s="126">
        <v>0</v>
      </c>
      <c r="S324" s="126">
        <f t="shared" si="49"/>
        <v>3691588.77</v>
      </c>
      <c r="T324" s="126">
        <f t="shared" si="27"/>
        <v>4295.5419711426575</v>
      </c>
      <c r="U324" s="126">
        <v>6723.5577954386781</v>
      </c>
    </row>
    <row r="325" spans="1:21" s="67" customFormat="1" ht="61.5" x14ac:dyDescent="0.9">
      <c r="A325" s="67">
        <v>1</v>
      </c>
      <c r="B325" s="118">
        <f>SUBTOTAL(103,$A$16:A325)</f>
        <v>295</v>
      </c>
      <c r="C325" s="115" t="s">
        <v>1303</v>
      </c>
      <c r="D325" s="122">
        <v>1955</v>
      </c>
      <c r="E325" s="127"/>
      <c r="F325" s="127" t="s">
        <v>1410</v>
      </c>
      <c r="G325" s="122">
        <v>2</v>
      </c>
      <c r="H325" s="122">
        <v>2</v>
      </c>
      <c r="I325" s="126">
        <v>805.7</v>
      </c>
      <c r="J325" s="126">
        <v>731</v>
      </c>
      <c r="K325" s="126">
        <v>705.2</v>
      </c>
      <c r="L325" s="124">
        <v>37</v>
      </c>
      <c r="M325" s="122" t="s">
        <v>272</v>
      </c>
      <c r="N325" s="122" t="s">
        <v>276</v>
      </c>
      <c r="O325" s="125" t="s">
        <v>343</v>
      </c>
      <c r="P325" s="126">
        <v>2051042.41</v>
      </c>
      <c r="Q325" s="126">
        <v>0</v>
      </c>
      <c r="R325" s="126">
        <v>0</v>
      </c>
      <c r="S325" s="126">
        <f t="shared" si="49"/>
        <v>2051042.41</v>
      </c>
      <c r="T325" s="126">
        <f t="shared" si="27"/>
        <v>2545.6651483182322</v>
      </c>
      <c r="U325" s="126">
        <v>7467.9422536924412</v>
      </c>
    </row>
    <row r="326" spans="1:21" s="67" customFormat="1" ht="61.5" x14ac:dyDescent="0.9">
      <c r="A326" s="67">
        <v>1</v>
      </c>
      <c r="B326" s="118">
        <f>SUBTOTAL(103,$A$16:A326)</f>
        <v>296</v>
      </c>
      <c r="C326" s="115" t="s">
        <v>1304</v>
      </c>
      <c r="D326" s="122">
        <v>1958</v>
      </c>
      <c r="E326" s="127"/>
      <c r="F326" s="127" t="s">
        <v>274</v>
      </c>
      <c r="G326" s="122">
        <v>2</v>
      </c>
      <c r="H326" s="122">
        <v>2</v>
      </c>
      <c r="I326" s="126">
        <v>482.5</v>
      </c>
      <c r="J326" s="126">
        <v>431.7</v>
      </c>
      <c r="K326" s="126">
        <v>367.4</v>
      </c>
      <c r="L326" s="124">
        <v>27</v>
      </c>
      <c r="M326" s="122" t="s">
        <v>272</v>
      </c>
      <c r="N326" s="122" t="s">
        <v>276</v>
      </c>
      <c r="O326" s="125" t="s">
        <v>343</v>
      </c>
      <c r="P326" s="126">
        <v>1945887.7</v>
      </c>
      <c r="Q326" s="126">
        <v>0</v>
      </c>
      <c r="R326" s="126">
        <v>0</v>
      </c>
      <c r="S326" s="126">
        <f t="shared" si="49"/>
        <v>1945887.7</v>
      </c>
      <c r="T326" s="126">
        <f t="shared" si="27"/>
        <v>4032.9278756476683</v>
      </c>
      <c r="U326" s="126">
        <v>12960.807892227978</v>
      </c>
    </row>
    <row r="327" spans="1:21" s="67" customFormat="1" ht="61.5" x14ac:dyDescent="0.9">
      <c r="A327" s="67">
        <v>1</v>
      </c>
      <c r="B327" s="118">
        <f>SUBTOTAL(103,$A$16:A327)</f>
        <v>297</v>
      </c>
      <c r="C327" s="115" t="s">
        <v>1305</v>
      </c>
      <c r="D327" s="122">
        <v>1917</v>
      </c>
      <c r="E327" s="127"/>
      <c r="F327" s="127" t="s">
        <v>274</v>
      </c>
      <c r="G327" s="122">
        <v>2</v>
      </c>
      <c r="H327" s="122">
        <v>2</v>
      </c>
      <c r="I327" s="126">
        <v>333.7</v>
      </c>
      <c r="J327" s="126">
        <v>264.8</v>
      </c>
      <c r="K327" s="126">
        <v>264.79899999999998</v>
      </c>
      <c r="L327" s="124">
        <v>10</v>
      </c>
      <c r="M327" s="122" t="s">
        <v>272</v>
      </c>
      <c r="N327" s="122" t="s">
        <v>276</v>
      </c>
      <c r="O327" s="125" t="s">
        <v>343</v>
      </c>
      <c r="P327" s="126">
        <v>2037741.92</v>
      </c>
      <c r="Q327" s="126">
        <v>0</v>
      </c>
      <c r="R327" s="126">
        <v>0</v>
      </c>
      <c r="S327" s="126">
        <f t="shared" si="49"/>
        <v>2037741.92</v>
      </c>
      <c r="T327" s="126">
        <f t="shared" si="27"/>
        <v>6106.5086005394069</v>
      </c>
      <c r="U327" s="126">
        <v>7569.6426460893026</v>
      </c>
    </row>
    <row r="328" spans="1:21" s="67" customFormat="1" ht="61.5" x14ac:dyDescent="0.9">
      <c r="B328" s="115" t="s">
        <v>877</v>
      </c>
      <c r="C328" s="115"/>
      <c r="D328" s="122" t="s">
        <v>943</v>
      </c>
      <c r="E328" s="122" t="s">
        <v>943</v>
      </c>
      <c r="F328" s="122" t="s">
        <v>943</v>
      </c>
      <c r="G328" s="122" t="s">
        <v>943</v>
      </c>
      <c r="H328" s="122" t="s">
        <v>943</v>
      </c>
      <c r="I328" s="123">
        <f>SUM(I329:I332)</f>
        <v>1467.6999999999998</v>
      </c>
      <c r="J328" s="123">
        <f t="shared" ref="J328:L328" si="50">SUM(J329:J332)</f>
        <v>1348</v>
      </c>
      <c r="K328" s="123">
        <f t="shared" si="50"/>
        <v>1033.6999999999998</v>
      </c>
      <c r="L328" s="124">
        <f t="shared" si="50"/>
        <v>51</v>
      </c>
      <c r="M328" s="122" t="s">
        <v>943</v>
      </c>
      <c r="N328" s="122" t="s">
        <v>943</v>
      </c>
      <c r="O328" s="125" t="s">
        <v>943</v>
      </c>
      <c r="P328" s="126">
        <v>2484195.4</v>
      </c>
      <c r="Q328" s="126">
        <f t="shared" ref="Q328:S328" si="51">SUM(Q329:Q332)</f>
        <v>0</v>
      </c>
      <c r="R328" s="126">
        <f t="shared" si="51"/>
        <v>0</v>
      </c>
      <c r="S328" s="126">
        <f t="shared" si="51"/>
        <v>2484195.4</v>
      </c>
      <c r="T328" s="126">
        <f t="shared" si="27"/>
        <v>1692.5770934114603</v>
      </c>
      <c r="U328" s="126">
        <f>MAX(U329:U332)</f>
        <v>9214.674517766498</v>
      </c>
    </row>
    <row r="329" spans="1:21" s="67" customFormat="1" ht="61.5" x14ac:dyDescent="0.9">
      <c r="A329" s="67">
        <v>1</v>
      </c>
      <c r="B329" s="118">
        <f>SUBTOTAL(103,$A$16:A329)</f>
        <v>298</v>
      </c>
      <c r="C329" s="115" t="s">
        <v>252</v>
      </c>
      <c r="D329" s="122">
        <v>1955</v>
      </c>
      <c r="E329" s="127"/>
      <c r="F329" s="127" t="s">
        <v>340</v>
      </c>
      <c r="G329" s="122">
        <v>2</v>
      </c>
      <c r="H329" s="122">
        <v>1</v>
      </c>
      <c r="I329" s="126">
        <v>374.6</v>
      </c>
      <c r="J329" s="126">
        <v>343.4</v>
      </c>
      <c r="K329" s="126">
        <v>211.5</v>
      </c>
      <c r="L329" s="124">
        <v>7</v>
      </c>
      <c r="M329" s="122" t="s">
        <v>272</v>
      </c>
      <c r="N329" s="122" t="s">
        <v>273</v>
      </c>
      <c r="O329" s="125" t="s">
        <v>275</v>
      </c>
      <c r="P329" s="126">
        <v>286559.45999999996</v>
      </c>
      <c r="Q329" s="126">
        <v>0</v>
      </c>
      <c r="R329" s="126">
        <v>0</v>
      </c>
      <c r="S329" s="126">
        <f t="shared" ref="S329:S332" si="52">P329-Q329-R329</f>
        <v>286559.45999999996</v>
      </c>
      <c r="T329" s="126">
        <f t="shared" si="27"/>
        <v>764.97453283502387</v>
      </c>
      <c r="U329" s="126">
        <v>764.97453283502387</v>
      </c>
    </row>
    <row r="330" spans="1:21" s="67" customFormat="1" ht="61.5" x14ac:dyDescent="0.9">
      <c r="A330" s="67">
        <v>1</v>
      </c>
      <c r="B330" s="118">
        <f>SUBTOTAL(103,$A$16:A330)</f>
        <v>299</v>
      </c>
      <c r="C330" s="115" t="s">
        <v>253</v>
      </c>
      <c r="D330" s="122">
        <v>1954</v>
      </c>
      <c r="E330" s="127"/>
      <c r="F330" s="127" t="s">
        <v>274</v>
      </c>
      <c r="G330" s="122">
        <v>2</v>
      </c>
      <c r="H330" s="122">
        <v>1</v>
      </c>
      <c r="I330" s="126">
        <v>373.6</v>
      </c>
      <c r="J330" s="126">
        <v>342.5</v>
      </c>
      <c r="K330" s="126">
        <v>160.1</v>
      </c>
      <c r="L330" s="124">
        <v>12</v>
      </c>
      <c r="M330" s="122" t="s">
        <v>272</v>
      </c>
      <c r="N330" s="122" t="s">
        <v>273</v>
      </c>
      <c r="O330" s="125" t="s">
        <v>275</v>
      </c>
      <c r="P330" s="126">
        <v>286194.91000000003</v>
      </c>
      <c r="Q330" s="126">
        <v>0</v>
      </c>
      <c r="R330" s="126">
        <v>0</v>
      </c>
      <c r="S330" s="126">
        <f t="shared" si="52"/>
        <v>286194.91000000003</v>
      </c>
      <c r="T330" s="126">
        <f t="shared" si="27"/>
        <v>766.04633297644546</v>
      </c>
      <c r="U330" s="126">
        <v>766.04633297644546</v>
      </c>
    </row>
    <row r="331" spans="1:21" s="67" customFormat="1" ht="61.5" x14ac:dyDescent="0.9">
      <c r="A331" s="67">
        <v>1</v>
      </c>
      <c r="B331" s="118">
        <f>SUBTOTAL(103,$A$16:A331)</f>
        <v>300</v>
      </c>
      <c r="C331" s="115" t="s">
        <v>1308</v>
      </c>
      <c r="D331" s="122">
        <v>1968</v>
      </c>
      <c r="E331" s="127"/>
      <c r="F331" s="127" t="s">
        <v>274</v>
      </c>
      <c r="G331" s="122">
        <v>2</v>
      </c>
      <c r="H331" s="122">
        <v>1</v>
      </c>
      <c r="I331" s="126">
        <v>334.9</v>
      </c>
      <c r="J331" s="126">
        <v>302.2</v>
      </c>
      <c r="K331" s="126">
        <v>302.2</v>
      </c>
      <c r="L331" s="124">
        <v>16</v>
      </c>
      <c r="M331" s="122" t="s">
        <v>272</v>
      </c>
      <c r="N331" s="122" t="s">
        <v>273</v>
      </c>
      <c r="O331" s="125" t="s">
        <v>275</v>
      </c>
      <c r="P331" s="126">
        <v>401427.02999999997</v>
      </c>
      <c r="Q331" s="126">
        <v>0</v>
      </c>
      <c r="R331" s="126">
        <v>0</v>
      </c>
      <c r="S331" s="126">
        <f t="shared" si="52"/>
        <v>401427.02999999997</v>
      </c>
      <c r="T331" s="126">
        <f t="shared" si="27"/>
        <v>1198.6474469991042</v>
      </c>
      <c r="U331" s="126">
        <v>9214.674517766498</v>
      </c>
    </row>
    <row r="332" spans="1:21" s="67" customFormat="1" ht="61.5" x14ac:dyDescent="0.9">
      <c r="A332" s="67">
        <v>1</v>
      </c>
      <c r="B332" s="118">
        <f>SUBTOTAL(103,$A$16:A332)</f>
        <v>301</v>
      </c>
      <c r="C332" s="115" t="s">
        <v>250</v>
      </c>
      <c r="D332" s="122">
        <v>1969</v>
      </c>
      <c r="E332" s="127"/>
      <c r="F332" s="127" t="s">
        <v>274</v>
      </c>
      <c r="G332" s="122">
        <v>2</v>
      </c>
      <c r="H332" s="122">
        <v>1</v>
      </c>
      <c r="I332" s="126">
        <v>384.6</v>
      </c>
      <c r="J332" s="126">
        <v>359.9</v>
      </c>
      <c r="K332" s="126">
        <v>359.9</v>
      </c>
      <c r="L332" s="124">
        <v>16</v>
      </c>
      <c r="M332" s="122" t="s">
        <v>272</v>
      </c>
      <c r="N332" s="122" t="s">
        <v>273</v>
      </c>
      <c r="O332" s="125" t="s">
        <v>275</v>
      </c>
      <c r="P332" s="126">
        <v>1510014</v>
      </c>
      <c r="Q332" s="126">
        <v>0</v>
      </c>
      <c r="R332" s="126">
        <v>0</v>
      </c>
      <c r="S332" s="126">
        <f t="shared" si="52"/>
        <v>1510014</v>
      </c>
      <c r="T332" s="126">
        <f t="shared" si="27"/>
        <v>3926.1934477379091</v>
      </c>
      <c r="U332" s="126">
        <v>7235.4924440977647</v>
      </c>
    </row>
    <row r="333" spans="1:21" s="67" customFormat="1" ht="61.5" x14ac:dyDescent="0.9">
      <c r="B333" s="115" t="s">
        <v>878</v>
      </c>
      <c r="C333" s="115"/>
      <c r="D333" s="122" t="s">
        <v>943</v>
      </c>
      <c r="E333" s="122" t="s">
        <v>943</v>
      </c>
      <c r="F333" s="122" t="s">
        <v>943</v>
      </c>
      <c r="G333" s="122" t="s">
        <v>943</v>
      </c>
      <c r="H333" s="122" t="s">
        <v>943</v>
      </c>
      <c r="I333" s="123">
        <f>SUM(I334:I336)</f>
        <v>2026.2</v>
      </c>
      <c r="J333" s="123">
        <f t="shared" ref="J333:L333" si="53">SUM(J334:J336)</f>
        <v>1548.5</v>
      </c>
      <c r="K333" s="123">
        <f t="shared" si="53"/>
        <v>1408.9</v>
      </c>
      <c r="L333" s="124">
        <f t="shared" si="53"/>
        <v>65</v>
      </c>
      <c r="M333" s="122" t="s">
        <v>943</v>
      </c>
      <c r="N333" s="122" t="s">
        <v>943</v>
      </c>
      <c r="O333" s="125" t="s">
        <v>943</v>
      </c>
      <c r="P333" s="126">
        <v>5532352.54</v>
      </c>
      <c r="Q333" s="126">
        <f t="shared" ref="Q333:S333" si="54">SUM(Q334:Q336)</f>
        <v>0</v>
      </c>
      <c r="R333" s="126">
        <f t="shared" si="54"/>
        <v>0</v>
      </c>
      <c r="S333" s="126">
        <f t="shared" si="54"/>
        <v>5532352.54</v>
      </c>
      <c r="T333" s="126">
        <f t="shared" si="27"/>
        <v>2730.4079261672096</v>
      </c>
      <c r="U333" s="126">
        <f>MAX(U334:U336)</f>
        <v>8130.3313576929386</v>
      </c>
    </row>
    <row r="334" spans="1:21" s="67" customFormat="1" ht="61.5" x14ac:dyDescent="0.9">
      <c r="A334" s="67">
        <v>1</v>
      </c>
      <c r="B334" s="118">
        <f>SUBTOTAL(103,$A$16:A334)</f>
        <v>302</v>
      </c>
      <c r="C334" s="115" t="s">
        <v>247</v>
      </c>
      <c r="D334" s="122">
        <v>1969</v>
      </c>
      <c r="E334" s="127"/>
      <c r="F334" s="127" t="s">
        <v>321</v>
      </c>
      <c r="G334" s="122">
        <v>2</v>
      </c>
      <c r="H334" s="122">
        <v>2</v>
      </c>
      <c r="I334" s="126">
        <v>924.7</v>
      </c>
      <c r="J334" s="126">
        <v>556</v>
      </c>
      <c r="K334" s="126">
        <v>474.7</v>
      </c>
      <c r="L334" s="124">
        <v>25</v>
      </c>
      <c r="M334" s="122" t="s">
        <v>272</v>
      </c>
      <c r="N334" s="122" t="s">
        <v>273</v>
      </c>
      <c r="O334" s="125" t="s">
        <v>275</v>
      </c>
      <c r="P334" s="126">
        <v>1765119.99</v>
      </c>
      <c r="Q334" s="126">
        <v>0</v>
      </c>
      <c r="R334" s="126">
        <v>0</v>
      </c>
      <c r="S334" s="126">
        <f t="shared" ref="S334:S336" si="55">P334-Q334-R334</f>
        <v>1765119.99</v>
      </c>
      <c r="T334" s="126">
        <f t="shared" ref="T334:T397" si="56">P334/I334</f>
        <v>1908.8569157564614</v>
      </c>
      <c r="U334" s="126">
        <v>4000.0002206120907</v>
      </c>
    </row>
    <row r="335" spans="1:21" s="67" customFormat="1" ht="61.5" x14ac:dyDescent="0.9">
      <c r="A335" s="67">
        <v>1</v>
      </c>
      <c r="B335" s="118">
        <f>SUBTOTAL(103,$A$16:A335)</f>
        <v>303</v>
      </c>
      <c r="C335" s="115" t="s">
        <v>1306</v>
      </c>
      <c r="D335" s="122">
        <v>1984</v>
      </c>
      <c r="E335" s="127"/>
      <c r="F335" s="127" t="s">
        <v>328</v>
      </c>
      <c r="G335" s="122">
        <v>2</v>
      </c>
      <c r="H335" s="122">
        <v>2</v>
      </c>
      <c r="I335" s="126">
        <v>610.29999999999995</v>
      </c>
      <c r="J335" s="126">
        <v>556.79999999999995</v>
      </c>
      <c r="K335" s="126">
        <v>498.5</v>
      </c>
      <c r="L335" s="124">
        <v>22</v>
      </c>
      <c r="M335" s="122" t="s">
        <v>272</v>
      </c>
      <c r="N335" s="122" t="s">
        <v>273</v>
      </c>
      <c r="O335" s="125" t="s">
        <v>275</v>
      </c>
      <c r="P335" s="126">
        <v>2476874.58</v>
      </c>
      <c r="Q335" s="126">
        <v>0</v>
      </c>
      <c r="R335" s="126">
        <v>0</v>
      </c>
      <c r="S335" s="126">
        <f t="shared" si="55"/>
        <v>2476874.58</v>
      </c>
      <c r="T335" s="126">
        <f t="shared" si="56"/>
        <v>4058.4541700802888</v>
      </c>
      <c r="U335" s="126">
        <v>8130.3313576929386</v>
      </c>
    </row>
    <row r="336" spans="1:21" s="67" customFormat="1" ht="61.5" x14ac:dyDescent="0.9">
      <c r="A336" s="67">
        <v>1</v>
      </c>
      <c r="B336" s="118">
        <f>SUBTOTAL(103,$A$16:A336)</f>
        <v>304</v>
      </c>
      <c r="C336" s="115" t="s">
        <v>1307</v>
      </c>
      <c r="D336" s="122">
        <v>1967</v>
      </c>
      <c r="E336" s="127"/>
      <c r="F336" s="127" t="s">
        <v>274</v>
      </c>
      <c r="G336" s="122">
        <v>2</v>
      </c>
      <c r="H336" s="122">
        <v>2</v>
      </c>
      <c r="I336" s="126">
        <v>491.2</v>
      </c>
      <c r="J336" s="126">
        <v>435.7</v>
      </c>
      <c r="K336" s="126">
        <v>435.7</v>
      </c>
      <c r="L336" s="124">
        <v>18</v>
      </c>
      <c r="M336" s="122" t="s">
        <v>272</v>
      </c>
      <c r="N336" s="122" t="s">
        <v>273</v>
      </c>
      <c r="O336" s="125" t="s">
        <v>275</v>
      </c>
      <c r="P336" s="126">
        <v>1290357.97</v>
      </c>
      <c r="Q336" s="126">
        <v>0</v>
      </c>
      <c r="R336" s="126">
        <v>0</v>
      </c>
      <c r="S336" s="126">
        <f t="shared" si="55"/>
        <v>1290357.97</v>
      </c>
      <c r="T336" s="126">
        <f t="shared" si="56"/>
        <v>2626.9502646579804</v>
      </c>
      <c r="U336" s="126">
        <v>7628.3631514657982</v>
      </c>
    </row>
    <row r="337" spans="1:21" s="67" customFormat="1" ht="61.5" x14ac:dyDescent="0.9">
      <c r="B337" s="115" t="s">
        <v>879</v>
      </c>
      <c r="C337" s="120"/>
      <c r="D337" s="122" t="s">
        <v>943</v>
      </c>
      <c r="E337" s="122" t="s">
        <v>943</v>
      </c>
      <c r="F337" s="122" t="s">
        <v>943</v>
      </c>
      <c r="G337" s="122" t="s">
        <v>943</v>
      </c>
      <c r="H337" s="122" t="s">
        <v>943</v>
      </c>
      <c r="I337" s="123">
        <f>SUM(I338:I339)</f>
        <v>1746.5</v>
      </c>
      <c r="J337" s="123">
        <f t="shared" ref="J337:L337" si="57">SUM(J338:J339)</f>
        <v>1598.5</v>
      </c>
      <c r="K337" s="123">
        <f t="shared" si="57"/>
        <v>1405.9</v>
      </c>
      <c r="L337" s="124">
        <f t="shared" si="57"/>
        <v>90</v>
      </c>
      <c r="M337" s="122" t="s">
        <v>943</v>
      </c>
      <c r="N337" s="122" t="s">
        <v>943</v>
      </c>
      <c r="O337" s="125" t="s">
        <v>943</v>
      </c>
      <c r="P337" s="126">
        <v>7323302.0899999999</v>
      </c>
      <c r="Q337" s="126">
        <f t="shared" ref="Q337:S337" si="58">SUM(Q338:Q339)</f>
        <v>0</v>
      </c>
      <c r="R337" s="126">
        <f t="shared" si="58"/>
        <v>0</v>
      </c>
      <c r="S337" s="126">
        <f t="shared" si="58"/>
        <v>7323302.0899999999</v>
      </c>
      <c r="T337" s="126">
        <f t="shared" si="56"/>
        <v>4193.1303120526763</v>
      </c>
      <c r="U337" s="126">
        <f>MAX(U338:U339)</f>
        <v>5243.5176378942078</v>
      </c>
    </row>
    <row r="338" spans="1:21" s="67" customFormat="1" ht="61.5" x14ac:dyDescent="0.9">
      <c r="A338" s="67">
        <v>1</v>
      </c>
      <c r="B338" s="118">
        <f>SUBTOTAL(103,$A$16:A338)</f>
        <v>305</v>
      </c>
      <c r="C338" s="121" t="s">
        <v>0</v>
      </c>
      <c r="D338" s="122">
        <v>1975</v>
      </c>
      <c r="E338" s="127"/>
      <c r="F338" s="127" t="s">
        <v>274</v>
      </c>
      <c r="G338" s="122">
        <v>2</v>
      </c>
      <c r="H338" s="122">
        <v>2</v>
      </c>
      <c r="I338" s="126">
        <v>795.9</v>
      </c>
      <c r="J338" s="126">
        <v>735.5</v>
      </c>
      <c r="K338" s="126">
        <v>680.2</v>
      </c>
      <c r="L338" s="124">
        <v>37</v>
      </c>
      <c r="M338" s="122" t="s">
        <v>272</v>
      </c>
      <c r="N338" s="122" t="s">
        <v>273</v>
      </c>
      <c r="O338" s="125" t="s">
        <v>275</v>
      </c>
      <c r="P338" s="126">
        <v>3718130.24</v>
      </c>
      <c r="Q338" s="126">
        <v>0</v>
      </c>
      <c r="R338" s="126">
        <v>0</v>
      </c>
      <c r="S338" s="126">
        <f t="shared" ref="S338:S339" si="59">P338-Q338-R338</f>
        <v>3718130.24</v>
      </c>
      <c r="T338" s="126">
        <f t="shared" si="56"/>
        <v>4671.604774469155</v>
      </c>
      <c r="U338" s="126">
        <v>5243.5176378942078</v>
      </c>
    </row>
    <row r="339" spans="1:21" s="67" customFormat="1" ht="61.5" x14ac:dyDescent="0.9">
      <c r="A339" s="67">
        <v>1</v>
      </c>
      <c r="B339" s="118">
        <f>SUBTOTAL(103,$A$16:A339)</f>
        <v>306</v>
      </c>
      <c r="C339" s="115" t="s">
        <v>5</v>
      </c>
      <c r="D339" s="122">
        <v>1979</v>
      </c>
      <c r="E339" s="127"/>
      <c r="F339" s="127" t="s">
        <v>274</v>
      </c>
      <c r="G339" s="122">
        <v>2</v>
      </c>
      <c r="H339" s="122">
        <v>3</v>
      </c>
      <c r="I339" s="126">
        <v>950.6</v>
      </c>
      <c r="J339" s="126">
        <v>863</v>
      </c>
      <c r="K339" s="126">
        <v>725.7</v>
      </c>
      <c r="L339" s="124">
        <v>53</v>
      </c>
      <c r="M339" s="122" t="s">
        <v>272</v>
      </c>
      <c r="N339" s="122" t="s">
        <v>273</v>
      </c>
      <c r="O339" s="125" t="s">
        <v>275</v>
      </c>
      <c r="P339" s="126">
        <v>3605171.8499999996</v>
      </c>
      <c r="Q339" s="126">
        <v>0</v>
      </c>
      <c r="R339" s="126">
        <v>0</v>
      </c>
      <c r="S339" s="126">
        <f t="shared" si="59"/>
        <v>3605171.8499999996</v>
      </c>
      <c r="T339" s="126">
        <f t="shared" si="56"/>
        <v>3792.5224594992633</v>
      </c>
      <c r="U339" s="126">
        <v>4519.6818901746265</v>
      </c>
    </row>
    <row r="340" spans="1:21" s="67" customFormat="1" ht="61.5" x14ac:dyDescent="0.9">
      <c r="B340" s="115" t="s">
        <v>880</v>
      </c>
      <c r="C340" s="119"/>
      <c r="D340" s="122" t="s">
        <v>943</v>
      </c>
      <c r="E340" s="122" t="s">
        <v>943</v>
      </c>
      <c r="F340" s="122" t="s">
        <v>943</v>
      </c>
      <c r="G340" s="122" t="s">
        <v>943</v>
      </c>
      <c r="H340" s="122" t="s">
        <v>943</v>
      </c>
      <c r="I340" s="123">
        <f>SUM(I341:I342)</f>
        <v>5235.8</v>
      </c>
      <c r="J340" s="123">
        <f t="shared" ref="J340:L340" si="60">SUM(J341:J342)</f>
        <v>3991</v>
      </c>
      <c r="K340" s="123">
        <f t="shared" si="60"/>
        <v>2461.4</v>
      </c>
      <c r="L340" s="124">
        <f t="shared" si="60"/>
        <v>211</v>
      </c>
      <c r="M340" s="122" t="s">
        <v>943</v>
      </c>
      <c r="N340" s="122" t="s">
        <v>943</v>
      </c>
      <c r="O340" s="125" t="s">
        <v>943</v>
      </c>
      <c r="P340" s="126">
        <v>9157411.8499999996</v>
      </c>
      <c r="Q340" s="126">
        <f t="shared" ref="Q340:S340" si="61">SUM(Q341:Q342)</f>
        <v>0</v>
      </c>
      <c r="R340" s="126">
        <f t="shared" si="61"/>
        <v>0</v>
      </c>
      <c r="S340" s="126">
        <f t="shared" si="61"/>
        <v>9157411.8499999996</v>
      </c>
      <c r="T340" s="126">
        <f t="shared" si="56"/>
        <v>1748.9995511669658</v>
      </c>
      <c r="U340" s="126">
        <f>MAX(U341:U342)</f>
        <v>4852.7844330304224</v>
      </c>
    </row>
    <row r="341" spans="1:21" s="67" customFormat="1" ht="61.5" x14ac:dyDescent="0.9">
      <c r="A341" s="67">
        <v>1</v>
      </c>
      <c r="B341" s="118">
        <f>SUBTOTAL(103,$A$16:A341)</f>
        <v>307</v>
      </c>
      <c r="C341" s="115" t="s">
        <v>741</v>
      </c>
      <c r="D341" s="122">
        <v>1928</v>
      </c>
      <c r="E341" s="127"/>
      <c r="F341" s="127" t="s">
        <v>340</v>
      </c>
      <c r="G341" s="122" t="s">
        <v>313</v>
      </c>
      <c r="H341" s="122" t="s">
        <v>314</v>
      </c>
      <c r="I341" s="126">
        <v>253.1</v>
      </c>
      <c r="J341" s="126">
        <v>231.8</v>
      </c>
      <c r="K341" s="126">
        <v>185.3</v>
      </c>
      <c r="L341" s="124">
        <v>14</v>
      </c>
      <c r="M341" s="122" t="s">
        <v>272</v>
      </c>
      <c r="N341" s="122" t="s">
        <v>276</v>
      </c>
      <c r="O341" s="125" t="s">
        <v>775</v>
      </c>
      <c r="P341" s="126">
        <v>977099.87</v>
      </c>
      <c r="Q341" s="126">
        <v>0</v>
      </c>
      <c r="R341" s="126">
        <v>0</v>
      </c>
      <c r="S341" s="126">
        <f t="shared" ref="S341:S342" si="62">P341-Q341-R341</f>
        <v>977099.87</v>
      </c>
      <c r="T341" s="126">
        <f t="shared" si="56"/>
        <v>3860.5289213749506</v>
      </c>
      <c r="U341" s="126">
        <v>4852.7844330304224</v>
      </c>
    </row>
    <row r="342" spans="1:21" s="67" customFormat="1" ht="61.5" x14ac:dyDescent="0.9">
      <c r="A342" s="67">
        <v>1</v>
      </c>
      <c r="B342" s="118">
        <f>SUBTOTAL(103,$A$16:A342)</f>
        <v>308</v>
      </c>
      <c r="C342" s="115" t="s">
        <v>1309</v>
      </c>
      <c r="D342" s="122">
        <v>1972</v>
      </c>
      <c r="E342" s="127">
        <v>2010</v>
      </c>
      <c r="F342" s="127" t="s">
        <v>274</v>
      </c>
      <c r="G342" s="122">
        <v>5</v>
      </c>
      <c r="H342" s="122">
        <v>3</v>
      </c>
      <c r="I342" s="126">
        <v>4982.7</v>
      </c>
      <c r="J342" s="126">
        <v>3759.2</v>
      </c>
      <c r="K342" s="126">
        <v>2276.1</v>
      </c>
      <c r="L342" s="124">
        <v>197</v>
      </c>
      <c r="M342" s="122" t="s">
        <v>272</v>
      </c>
      <c r="N342" s="122" t="s">
        <v>276</v>
      </c>
      <c r="O342" s="125" t="s">
        <v>775</v>
      </c>
      <c r="P342" s="126">
        <v>8180311.9799999995</v>
      </c>
      <c r="Q342" s="126">
        <v>0</v>
      </c>
      <c r="R342" s="126">
        <v>0</v>
      </c>
      <c r="S342" s="126">
        <f t="shared" si="62"/>
        <v>8180311.9799999995</v>
      </c>
      <c r="T342" s="126">
        <f t="shared" si="56"/>
        <v>1641.7428261785778</v>
      </c>
      <c r="U342" s="126">
        <v>2753.19</v>
      </c>
    </row>
    <row r="343" spans="1:21" s="67" customFormat="1" ht="61.5" x14ac:dyDescent="0.9">
      <c r="B343" s="115" t="s">
        <v>881</v>
      </c>
      <c r="C343" s="115"/>
      <c r="D343" s="122" t="s">
        <v>943</v>
      </c>
      <c r="E343" s="122" t="s">
        <v>943</v>
      </c>
      <c r="F343" s="122" t="s">
        <v>943</v>
      </c>
      <c r="G343" s="122" t="s">
        <v>943</v>
      </c>
      <c r="H343" s="122" t="s">
        <v>943</v>
      </c>
      <c r="I343" s="123">
        <f>SUM(I344:I345)</f>
        <v>9027.7200000000012</v>
      </c>
      <c r="J343" s="123">
        <f t="shared" ref="J343:L343" si="63">SUM(J344:J345)</f>
        <v>7419.7</v>
      </c>
      <c r="K343" s="123">
        <f t="shared" si="63"/>
        <v>5882.4</v>
      </c>
      <c r="L343" s="124">
        <f t="shared" si="63"/>
        <v>298</v>
      </c>
      <c r="M343" s="122" t="s">
        <v>943</v>
      </c>
      <c r="N343" s="122" t="s">
        <v>943</v>
      </c>
      <c r="O343" s="125" t="s">
        <v>943</v>
      </c>
      <c r="P343" s="126">
        <v>8304834.3399999999</v>
      </c>
      <c r="Q343" s="126">
        <f t="shared" ref="Q343:S343" si="64">SUM(Q344:Q345)</f>
        <v>0</v>
      </c>
      <c r="R343" s="126">
        <f t="shared" si="64"/>
        <v>830749.09</v>
      </c>
      <c r="S343" s="126">
        <f t="shared" si="64"/>
        <v>7474085.25</v>
      </c>
      <c r="T343" s="126">
        <f t="shared" si="56"/>
        <v>919.92599903408598</v>
      </c>
      <c r="U343" s="126">
        <f>MAX(U344:U345)</f>
        <v>2928.86</v>
      </c>
    </row>
    <row r="344" spans="1:21" s="67" customFormat="1" ht="61.5" x14ac:dyDescent="0.9">
      <c r="A344" s="67">
        <v>1</v>
      </c>
      <c r="B344" s="118">
        <f>SUBTOTAL(103,$A$16:A344)</f>
        <v>309</v>
      </c>
      <c r="C344" s="115" t="s">
        <v>747</v>
      </c>
      <c r="D344" s="122">
        <v>1976</v>
      </c>
      <c r="E344" s="127">
        <v>2007</v>
      </c>
      <c r="F344" s="127" t="s">
        <v>321</v>
      </c>
      <c r="G344" s="122">
        <v>5</v>
      </c>
      <c r="H344" s="122">
        <v>6</v>
      </c>
      <c r="I344" s="126">
        <v>5095.72</v>
      </c>
      <c r="J344" s="126">
        <v>4603.3999999999996</v>
      </c>
      <c r="K344" s="126">
        <v>4603.3999999999996</v>
      </c>
      <c r="L344" s="124">
        <v>160</v>
      </c>
      <c r="M344" s="122" t="s">
        <v>272</v>
      </c>
      <c r="N344" s="122" t="s">
        <v>276</v>
      </c>
      <c r="O344" s="125" t="s">
        <v>776</v>
      </c>
      <c r="P344" s="126">
        <v>5427689.7599999998</v>
      </c>
      <c r="Q344" s="126">
        <v>0</v>
      </c>
      <c r="R344" s="126">
        <v>0</v>
      </c>
      <c r="S344" s="126">
        <f t="shared" ref="S344:S345" si="65">P344-Q344-R344</f>
        <v>5427689.7599999998</v>
      </c>
      <c r="T344" s="126">
        <f t="shared" si="56"/>
        <v>1065.1467820052906</v>
      </c>
      <c r="U344" s="126">
        <v>1643.5313105900636</v>
      </c>
    </row>
    <row r="345" spans="1:21" s="67" customFormat="1" ht="61.5" x14ac:dyDescent="0.9">
      <c r="A345" s="67">
        <v>1</v>
      </c>
      <c r="B345" s="118">
        <f>SUBTOTAL(103,$A$16:A345)</f>
        <v>310</v>
      </c>
      <c r="C345" s="115" t="s">
        <v>1310</v>
      </c>
      <c r="D345" s="122">
        <v>1975</v>
      </c>
      <c r="E345" s="127">
        <v>2015</v>
      </c>
      <c r="F345" s="127" t="s">
        <v>274</v>
      </c>
      <c r="G345" s="122">
        <v>3</v>
      </c>
      <c r="H345" s="122">
        <v>2</v>
      </c>
      <c r="I345" s="126">
        <v>3932</v>
      </c>
      <c r="J345" s="126">
        <v>2816.3</v>
      </c>
      <c r="K345" s="126">
        <v>1279</v>
      </c>
      <c r="L345" s="124">
        <v>138</v>
      </c>
      <c r="M345" s="122" t="s">
        <v>272</v>
      </c>
      <c r="N345" s="122" t="s">
        <v>276</v>
      </c>
      <c r="O345" s="125" t="s">
        <v>775</v>
      </c>
      <c r="P345" s="126">
        <v>2877144.58</v>
      </c>
      <c r="Q345" s="126">
        <v>0</v>
      </c>
      <c r="R345" s="126">
        <v>830749.09</v>
      </c>
      <c r="S345" s="126">
        <f t="shared" si="65"/>
        <v>2046395.4900000002</v>
      </c>
      <c r="T345" s="126">
        <f t="shared" si="56"/>
        <v>731.72547812817902</v>
      </c>
      <c r="U345" s="126">
        <v>2928.86</v>
      </c>
    </row>
    <row r="346" spans="1:21" s="67" customFormat="1" ht="61.5" x14ac:dyDescent="0.9">
      <c r="B346" s="115" t="s">
        <v>882</v>
      </c>
      <c r="C346" s="115"/>
      <c r="D346" s="122" t="s">
        <v>943</v>
      </c>
      <c r="E346" s="122" t="s">
        <v>943</v>
      </c>
      <c r="F346" s="122" t="s">
        <v>943</v>
      </c>
      <c r="G346" s="122" t="s">
        <v>943</v>
      </c>
      <c r="H346" s="122" t="s">
        <v>943</v>
      </c>
      <c r="I346" s="123">
        <f>I347</f>
        <v>846.4</v>
      </c>
      <c r="J346" s="123">
        <f t="shared" ref="J346:L346" si="66">J347</f>
        <v>794.7</v>
      </c>
      <c r="K346" s="123">
        <f t="shared" si="66"/>
        <v>794.7</v>
      </c>
      <c r="L346" s="124">
        <f t="shared" si="66"/>
        <v>26</v>
      </c>
      <c r="M346" s="122" t="s">
        <v>943</v>
      </c>
      <c r="N346" s="122" t="s">
        <v>943</v>
      </c>
      <c r="O346" s="125" t="s">
        <v>943</v>
      </c>
      <c r="P346" s="126">
        <v>5698132.5200000005</v>
      </c>
      <c r="Q346" s="126">
        <f t="shared" ref="Q346:S346" si="67">Q347</f>
        <v>0</v>
      </c>
      <c r="R346" s="126">
        <f t="shared" si="67"/>
        <v>0</v>
      </c>
      <c r="S346" s="126">
        <f t="shared" si="67"/>
        <v>5698132.5200000005</v>
      </c>
      <c r="T346" s="126">
        <f t="shared" si="56"/>
        <v>6732.1981568998117</v>
      </c>
      <c r="U346" s="126">
        <f>MAX(U347)</f>
        <v>9176.3604087901695</v>
      </c>
    </row>
    <row r="347" spans="1:21" s="67" customFormat="1" ht="61.5" x14ac:dyDescent="0.9">
      <c r="A347" s="67">
        <v>1</v>
      </c>
      <c r="B347" s="118">
        <f>SUBTOTAL(103,$A$16:A347)</f>
        <v>311</v>
      </c>
      <c r="C347" s="115" t="s">
        <v>846</v>
      </c>
      <c r="D347" s="122">
        <v>1981</v>
      </c>
      <c r="E347" s="127"/>
      <c r="F347" s="127" t="s">
        <v>274</v>
      </c>
      <c r="G347" s="122">
        <v>2</v>
      </c>
      <c r="H347" s="122">
        <v>2</v>
      </c>
      <c r="I347" s="126">
        <v>846.4</v>
      </c>
      <c r="J347" s="126">
        <v>794.7</v>
      </c>
      <c r="K347" s="126">
        <v>794.7</v>
      </c>
      <c r="L347" s="124">
        <v>26</v>
      </c>
      <c r="M347" s="122" t="s">
        <v>272</v>
      </c>
      <c r="N347" s="122" t="s">
        <v>276</v>
      </c>
      <c r="O347" s="125" t="s">
        <v>775</v>
      </c>
      <c r="P347" s="126">
        <v>5698132.5200000005</v>
      </c>
      <c r="Q347" s="126">
        <v>0</v>
      </c>
      <c r="R347" s="126">
        <v>0</v>
      </c>
      <c r="S347" s="126">
        <f>P347-Q347-R347</f>
        <v>5698132.5200000005</v>
      </c>
      <c r="T347" s="126">
        <f t="shared" si="56"/>
        <v>6732.1981568998117</v>
      </c>
      <c r="U347" s="126">
        <v>9176.3604087901695</v>
      </c>
    </row>
    <row r="348" spans="1:21" s="67" customFormat="1" ht="61.5" x14ac:dyDescent="0.9">
      <c r="B348" s="115" t="s">
        <v>883</v>
      </c>
      <c r="C348" s="119"/>
      <c r="D348" s="122" t="s">
        <v>943</v>
      </c>
      <c r="E348" s="122" t="s">
        <v>943</v>
      </c>
      <c r="F348" s="122" t="s">
        <v>943</v>
      </c>
      <c r="G348" s="122" t="s">
        <v>943</v>
      </c>
      <c r="H348" s="122" t="s">
        <v>943</v>
      </c>
      <c r="I348" s="123">
        <f>SUM(I349:I362)</f>
        <v>40934.480000000003</v>
      </c>
      <c r="J348" s="123">
        <f t="shared" ref="J348:L348" si="68">SUM(J349:J362)</f>
        <v>32172.640000000003</v>
      </c>
      <c r="K348" s="123">
        <f t="shared" si="68"/>
        <v>31085.010000000002</v>
      </c>
      <c r="L348" s="124">
        <f t="shared" si="68"/>
        <v>1442</v>
      </c>
      <c r="M348" s="122" t="s">
        <v>943</v>
      </c>
      <c r="N348" s="122" t="s">
        <v>943</v>
      </c>
      <c r="O348" s="125" t="s">
        <v>943</v>
      </c>
      <c r="P348" s="126">
        <v>57146342.280000009</v>
      </c>
      <c r="Q348" s="126">
        <f t="shared" ref="Q348:S348" si="69">SUM(Q349:Q362)</f>
        <v>0</v>
      </c>
      <c r="R348" s="126">
        <f t="shared" si="69"/>
        <v>0</v>
      </c>
      <c r="S348" s="126">
        <f t="shared" si="69"/>
        <v>57146342.280000009</v>
      </c>
      <c r="T348" s="126">
        <f t="shared" si="56"/>
        <v>1396.0441730296807</v>
      </c>
      <c r="U348" s="126">
        <f>MAX(U349:U362)</f>
        <v>5746.7487290289773</v>
      </c>
    </row>
    <row r="349" spans="1:21" s="67" customFormat="1" ht="61.5" x14ac:dyDescent="0.9">
      <c r="A349" s="67">
        <v>1</v>
      </c>
      <c r="B349" s="118">
        <f>SUBTOTAL(103,$A$16:A349)</f>
        <v>312</v>
      </c>
      <c r="C349" s="115" t="s">
        <v>116</v>
      </c>
      <c r="D349" s="122">
        <v>1973</v>
      </c>
      <c r="E349" s="127"/>
      <c r="F349" s="127" t="s">
        <v>274</v>
      </c>
      <c r="G349" s="122">
        <v>2</v>
      </c>
      <c r="H349" s="122">
        <v>2</v>
      </c>
      <c r="I349" s="126">
        <v>781.03</v>
      </c>
      <c r="J349" s="126">
        <v>720.97</v>
      </c>
      <c r="K349" s="126">
        <v>681.23</v>
      </c>
      <c r="L349" s="124">
        <v>38</v>
      </c>
      <c r="M349" s="122" t="s">
        <v>272</v>
      </c>
      <c r="N349" s="122" t="s">
        <v>276</v>
      </c>
      <c r="O349" s="125" t="s">
        <v>292</v>
      </c>
      <c r="P349" s="126">
        <v>3325000</v>
      </c>
      <c r="Q349" s="126">
        <v>0</v>
      </c>
      <c r="R349" s="126">
        <v>0</v>
      </c>
      <c r="S349" s="126">
        <f t="shared" ref="S349:S362" si="70">P349-Q349-R349</f>
        <v>3325000</v>
      </c>
      <c r="T349" s="126">
        <f t="shared" si="56"/>
        <v>4257.1988271897371</v>
      </c>
      <c r="U349" s="126">
        <v>5746.0008578415682</v>
      </c>
    </row>
    <row r="350" spans="1:21" s="67" customFormat="1" ht="61.5" x14ac:dyDescent="0.9">
      <c r="A350" s="67">
        <v>1</v>
      </c>
      <c r="B350" s="118">
        <f>SUBTOTAL(103,$A$16:A350)</f>
        <v>313</v>
      </c>
      <c r="C350" s="115" t="s">
        <v>119</v>
      </c>
      <c r="D350" s="122">
        <v>1972</v>
      </c>
      <c r="E350" s="127"/>
      <c r="F350" s="127" t="s">
        <v>274</v>
      </c>
      <c r="G350" s="122">
        <v>2</v>
      </c>
      <c r="H350" s="122">
        <v>2</v>
      </c>
      <c r="I350" s="126">
        <v>788.14</v>
      </c>
      <c r="J350" s="126">
        <v>731.72</v>
      </c>
      <c r="K350" s="126">
        <v>674.63</v>
      </c>
      <c r="L350" s="124">
        <v>35</v>
      </c>
      <c r="M350" s="122" t="s">
        <v>272</v>
      </c>
      <c r="N350" s="122" t="s">
        <v>276</v>
      </c>
      <c r="O350" s="125" t="s">
        <v>292</v>
      </c>
      <c r="P350" s="126">
        <v>3106500</v>
      </c>
      <c r="Q350" s="126">
        <v>0</v>
      </c>
      <c r="R350" s="126">
        <v>0</v>
      </c>
      <c r="S350" s="126">
        <f t="shared" si="70"/>
        <v>3106500</v>
      </c>
      <c r="T350" s="126">
        <f t="shared" si="56"/>
        <v>3941.5586063389756</v>
      </c>
      <c r="U350" s="126">
        <v>5319.9768327962038</v>
      </c>
    </row>
    <row r="351" spans="1:21" s="67" customFormat="1" ht="61.5" x14ac:dyDescent="0.9">
      <c r="A351" s="67">
        <v>1</v>
      </c>
      <c r="B351" s="118">
        <f>SUBTOTAL(103,$A$16:A351)</f>
        <v>314</v>
      </c>
      <c r="C351" s="115" t="s">
        <v>115</v>
      </c>
      <c r="D351" s="122">
        <v>1969</v>
      </c>
      <c r="E351" s="127"/>
      <c r="F351" s="127" t="s">
        <v>274</v>
      </c>
      <c r="G351" s="122">
        <v>2</v>
      </c>
      <c r="H351" s="122">
        <v>1</v>
      </c>
      <c r="I351" s="126">
        <v>399.42</v>
      </c>
      <c r="J351" s="126">
        <v>370.5</v>
      </c>
      <c r="K351" s="126">
        <v>326.83</v>
      </c>
      <c r="L351" s="124">
        <v>18</v>
      </c>
      <c r="M351" s="122" t="s">
        <v>272</v>
      </c>
      <c r="N351" s="122" t="s">
        <v>276</v>
      </c>
      <c r="O351" s="125" t="s">
        <v>292</v>
      </c>
      <c r="P351" s="126">
        <v>1617500</v>
      </c>
      <c r="Q351" s="126">
        <v>0</v>
      </c>
      <c r="R351" s="126">
        <v>0</v>
      </c>
      <c r="S351" s="126">
        <f t="shared" si="70"/>
        <v>1617500</v>
      </c>
      <c r="T351" s="126">
        <f t="shared" si="56"/>
        <v>4049.6219518301536</v>
      </c>
      <c r="U351" s="126">
        <v>5465.8314430924838</v>
      </c>
    </row>
    <row r="352" spans="1:21" s="67" customFormat="1" ht="61.5" x14ac:dyDescent="0.9">
      <c r="A352" s="67">
        <v>1</v>
      </c>
      <c r="B352" s="118">
        <f>SUBTOTAL(103,$A$16:A352)</f>
        <v>315</v>
      </c>
      <c r="C352" s="115" t="s">
        <v>117</v>
      </c>
      <c r="D352" s="122">
        <v>1972</v>
      </c>
      <c r="E352" s="127"/>
      <c r="F352" s="127" t="s">
        <v>295</v>
      </c>
      <c r="G352" s="122">
        <v>5</v>
      </c>
      <c r="H352" s="122">
        <v>5</v>
      </c>
      <c r="I352" s="126">
        <v>5806.44</v>
      </c>
      <c r="J352" s="126">
        <v>4492</v>
      </c>
      <c r="K352" s="126">
        <v>4492</v>
      </c>
      <c r="L352" s="124">
        <v>211</v>
      </c>
      <c r="M352" s="122" t="s">
        <v>272</v>
      </c>
      <c r="N352" s="122" t="s">
        <v>276</v>
      </c>
      <c r="O352" s="125" t="s">
        <v>293</v>
      </c>
      <c r="P352" s="126">
        <v>5706572.6400000006</v>
      </c>
      <c r="Q352" s="126">
        <v>0</v>
      </c>
      <c r="R352" s="126">
        <v>0</v>
      </c>
      <c r="S352" s="126">
        <f t="shared" si="70"/>
        <v>5706572.6400000006</v>
      </c>
      <c r="T352" s="126">
        <f t="shared" si="56"/>
        <v>982.80058693450735</v>
      </c>
      <c r="U352" s="126">
        <v>1439.1054370664297</v>
      </c>
    </row>
    <row r="353" spans="1:21" s="67" customFormat="1" ht="61.5" x14ac:dyDescent="0.9">
      <c r="A353" s="67">
        <v>1</v>
      </c>
      <c r="B353" s="118">
        <f>SUBTOTAL(103,$A$16:A353)</f>
        <v>316</v>
      </c>
      <c r="C353" s="115" t="s">
        <v>118</v>
      </c>
      <c r="D353" s="122">
        <v>1973</v>
      </c>
      <c r="E353" s="127"/>
      <c r="F353" s="127" t="s">
        <v>295</v>
      </c>
      <c r="G353" s="122">
        <v>5</v>
      </c>
      <c r="H353" s="122">
        <v>6</v>
      </c>
      <c r="I353" s="126">
        <v>6042.57</v>
      </c>
      <c r="J353" s="126">
        <v>4619</v>
      </c>
      <c r="K353" s="126">
        <v>4619</v>
      </c>
      <c r="L353" s="124">
        <v>176</v>
      </c>
      <c r="M353" s="122" t="s">
        <v>272</v>
      </c>
      <c r="N353" s="122" t="s">
        <v>276</v>
      </c>
      <c r="O353" s="125" t="s">
        <v>293</v>
      </c>
      <c r="P353" s="126">
        <v>8921859.0999999996</v>
      </c>
      <c r="Q353" s="126">
        <v>0</v>
      </c>
      <c r="R353" s="126">
        <v>0</v>
      </c>
      <c r="S353" s="126">
        <f t="shared" si="70"/>
        <v>8921859.0999999996</v>
      </c>
      <c r="T353" s="126">
        <f t="shared" si="56"/>
        <v>1476.5007438887758</v>
      </c>
      <c r="U353" s="126">
        <v>3255.85</v>
      </c>
    </row>
    <row r="354" spans="1:21" s="67" customFormat="1" ht="61.5" x14ac:dyDescent="0.9">
      <c r="A354" s="67">
        <v>1</v>
      </c>
      <c r="B354" s="118">
        <f>SUBTOTAL(103,$A$16:A354)</f>
        <v>317</v>
      </c>
      <c r="C354" s="115" t="s">
        <v>120</v>
      </c>
      <c r="D354" s="122">
        <v>1973</v>
      </c>
      <c r="E354" s="127"/>
      <c r="F354" s="127" t="s">
        <v>274</v>
      </c>
      <c r="G354" s="122">
        <v>2</v>
      </c>
      <c r="H354" s="122">
        <v>2</v>
      </c>
      <c r="I354" s="126">
        <v>787.52</v>
      </c>
      <c r="J354" s="126">
        <v>728.1</v>
      </c>
      <c r="K354" s="126">
        <v>728.1</v>
      </c>
      <c r="L354" s="124">
        <v>30</v>
      </c>
      <c r="M354" s="122" t="s">
        <v>272</v>
      </c>
      <c r="N354" s="122" t="s">
        <v>276</v>
      </c>
      <c r="O354" s="125" t="s">
        <v>293</v>
      </c>
      <c r="P354" s="126">
        <v>3199500</v>
      </c>
      <c r="Q354" s="126">
        <v>0</v>
      </c>
      <c r="R354" s="126">
        <v>0</v>
      </c>
      <c r="S354" s="126">
        <f t="shared" si="70"/>
        <v>3199500</v>
      </c>
      <c r="T354" s="126">
        <f t="shared" si="56"/>
        <v>4062.7539618041446</v>
      </c>
      <c r="U354" s="126">
        <v>5483.5559008025193</v>
      </c>
    </row>
    <row r="355" spans="1:21" s="67" customFormat="1" ht="61.5" x14ac:dyDescent="0.9">
      <c r="A355" s="67">
        <v>1</v>
      </c>
      <c r="B355" s="118">
        <f>SUBTOTAL(103,$A$16:A355)</f>
        <v>318</v>
      </c>
      <c r="C355" s="115" t="s">
        <v>121</v>
      </c>
      <c r="D355" s="122">
        <v>1979</v>
      </c>
      <c r="E355" s="127"/>
      <c r="F355" s="127" t="s">
        <v>274</v>
      </c>
      <c r="G355" s="122">
        <v>2</v>
      </c>
      <c r="H355" s="122">
        <v>3</v>
      </c>
      <c r="I355" s="126">
        <v>1253.7</v>
      </c>
      <c r="J355" s="126">
        <v>1133.5</v>
      </c>
      <c r="K355" s="126">
        <v>1133.5</v>
      </c>
      <c r="L355" s="124">
        <v>56</v>
      </c>
      <c r="M355" s="122" t="s">
        <v>272</v>
      </c>
      <c r="N355" s="122" t="s">
        <v>276</v>
      </c>
      <c r="O355" s="125" t="s">
        <v>293</v>
      </c>
      <c r="P355" s="126">
        <v>2417780.6800000002</v>
      </c>
      <c r="Q355" s="126">
        <v>0</v>
      </c>
      <c r="R355" s="126">
        <v>0</v>
      </c>
      <c r="S355" s="126">
        <f t="shared" si="70"/>
        <v>2417780.6800000002</v>
      </c>
      <c r="T355" s="126">
        <f t="shared" si="56"/>
        <v>1928.5161362367394</v>
      </c>
      <c r="U355" s="126">
        <v>3023.77</v>
      </c>
    </row>
    <row r="356" spans="1:21" s="67" customFormat="1" ht="61.5" x14ac:dyDescent="0.9">
      <c r="A356" s="67">
        <v>1</v>
      </c>
      <c r="B356" s="118">
        <f>SUBTOTAL(103,$A$16:A356)</f>
        <v>319</v>
      </c>
      <c r="C356" s="115" t="s">
        <v>1311</v>
      </c>
      <c r="D356" s="122" t="s">
        <v>319</v>
      </c>
      <c r="E356" s="127"/>
      <c r="F356" s="127" t="s">
        <v>274</v>
      </c>
      <c r="G356" s="122" t="s">
        <v>363</v>
      </c>
      <c r="H356" s="122" t="s">
        <v>385</v>
      </c>
      <c r="I356" s="126">
        <v>5104.97</v>
      </c>
      <c r="J356" s="126">
        <v>4716.63</v>
      </c>
      <c r="K356" s="126">
        <v>3830.44</v>
      </c>
      <c r="L356" s="124">
        <v>208</v>
      </c>
      <c r="M356" s="122" t="s">
        <v>272</v>
      </c>
      <c r="N356" s="122" t="s">
        <v>276</v>
      </c>
      <c r="O356" s="125" t="s">
        <v>1406</v>
      </c>
      <c r="P356" s="126">
        <v>6989338.7399999993</v>
      </c>
      <c r="Q356" s="126">
        <v>0</v>
      </c>
      <c r="R356" s="126">
        <v>0</v>
      </c>
      <c r="S356" s="126">
        <f t="shared" si="70"/>
        <v>6989338.7399999993</v>
      </c>
      <c r="T356" s="126">
        <f t="shared" si="56"/>
        <v>1369.1243513673928</v>
      </c>
      <c r="U356" s="126">
        <v>5056.9995633666795</v>
      </c>
    </row>
    <row r="357" spans="1:21" s="67" customFormat="1" ht="61.5" x14ac:dyDescent="0.9">
      <c r="A357" s="67">
        <v>1</v>
      </c>
      <c r="B357" s="118">
        <f>SUBTOTAL(103,$A$16:A357)</f>
        <v>320</v>
      </c>
      <c r="C357" s="115" t="s">
        <v>1312</v>
      </c>
      <c r="D357" s="122">
        <v>1973</v>
      </c>
      <c r="E357" s="127"/>
      <c r="F357" s="127" t="s">
        <v>328</v>
      </c>
      <c r="G357" s="122">
        <v>5</v>
      </c>
      <c r="H357" s="122">
        <v>6</v>
      </c>
      <c r="I357" s="126">
        <v>4615</v>
      </c>
      <c r="J357" s="126">
        <v>3188.68</v>
      </c>
      <c r="K357" s="126">
        <v>3188.68</v>
      </c>
      <c r="L357" s="124">
        <v>184</v>
      </c>
      <c r="M357" s="122" t="s">
        <v>272</v>
      </c>
      <c r="N357" s="122" t="s">
        <v>276</v>
      </c>
      <c r="O357" s="125" t="s">
        <v>1407</v>
      </c>
      <c r="P357" s="126">
        <v>4841157.5600000005</v>
      </c>
      <c r="Q357" s="126">
        <v>0</v>
      </c>
      <c r="R357" s="126">
        <v>0</v>
      </c>
      <c r="S357" s="126">
        <f t="shared" si="70"/>
        <v>4841157.5600000005</v>
      </c>
      <c r="T357" s="126">
        <f t="shared" si="56"/>
        <v>1049.0048884073674</v>
      </c>
      <c r="U357" s="126">
        <v>1682.0975235102924</v>
      </c>
    </row>
    <row r="358" spans="1:21" s="67" customFormat="1" ht="61.5" x14ac:dyDescent="0.9">
      <c r="A358" s="67">
        <v>1</v>
      </c>
      <c r="B358" s="118">
        <f>SUBTOTAL(103,$A$16:A358)</f>
        <v>321</v>
      </c>
      <c r="C358" s="115" t="s">
        <v>1313</v>
      </c>
      <c r="D358" s="122">
        <v>1974</v>
      </c>
      <c r="E358" s="127"/>
      <c r="F358" s="127" t="s">
        <v>295</v>
      </c>
      <c r="G358" s="122">
        <v>5</v>
      </c>
      <c r="H358" s="122">
        <v>4</v>
      </c>
      <c r="I358" s="126">
        <v>4089.9</v>
      </c>
      <c r="J358" s="126">
        <v>3096</v>
      </c>
      <c r="K358" s="126">
        <v>3096</v>
      </c>
      <c r="L358" s="124">
        <v>116</v>
      </c>
      <c r="M358" s="122" t="s">
        <v>272</v>
      </c>
      <c r="N358" s="122" t="s">
        <v>276</v>
      </c>
      <c r="O358" s="125" t="s">
        <v>1434</v>
      </c>
      <c r="P358" s="126">
        <v>3257855.2800000003</v>
      </c>
      <c r="Q358" s="126">
        <v>0</v>
      </c>
      <c r="R358" s="126">
        <v>0</v>
      </c>
      <c r="S358" s="126">
        <f t="shared" si="70"/>
        <v>3257855.2800000003</v>
      </c>
      <c r="T358" s="126">
        <f t="shared" si="56"/>
        <v>796.56110907357152</v>
      </c>
      <c r="U358" s="126">
        <v>1671.5082055795986</v>
      </c>
    </row>
    <row r="359" spans="1:21" s="67" customFormat="1" ht="61.5" x14ac:dyDescent="0.9">
      <c r="A359" s="67">
        <v>1</v>
      </c>
      <c r="B359" s="118">
        <f>SUBTOTAL(103,$A$16:A359)</f>
        <v>322</v>
      </c>
      <c r="C359" s="115" t="s">
        <v>1314</v>
      </c>
      <c r="D359" s="122">
        <v>1966</v>
      </c>
      <c r="E359" s="127"/>
      <c r="F359" s="127" t="s">
        <v>295</v>
      </c>
      <c r="G359" s="122">
        <v>2</v>
      </c>
      <c r="H359" s="122">
        <v>2</v>
      </c>
      <c r="I359" s="126">
        <v>1059</v>
      </c>
      <c r="J359" s="126">
        <v>649.9</v>
      </c>
      <c r="K359" s="126">
        <v>649.9</v>
      </c>
      <c r="L359" s="124">
        <v>27</v>
      </c>
      <c r="M359" s="122" t="s">
        <v>272</v>
      </c>
      <c r="N359" s="122" t="s">
        <v>276</v>
      </c>
      <c r="O359" s="125" t="s">
        <v>1434</v>
      </c>
      <c r="P359" s="126">
        <v>2457105.5499999998</v>
      </c>
      <c r="Q359" s="126">
        <v>0</v>
      </c>
      <c r="R359" s="126">
        <v>0</v>
      </c>
      <c r="S359" s="126">
        <f t="shared" si="70"/>
        <v>2457105.5499999998</v>
      </c>
      <c r="T359" s="126">
        <f t="shared" si="56"/>
        <v>2320.2129839471199</v>
      </c>
      <c r="U359" s="126">
        <v>2938.4000254957505</v>
      </c>
    </row>
    <row r="360" spans="1:21" s="67" customFormat="1" ht="61.5" x14ac:dyDescent="0.9">
      <c r="A360" s="67">
        <v>1</v>
      </c>
      <c r="B360" s="118">
        <f>SUBTOTAL(103,$A$16:A360)</f>
        <v>323</v>
      </c>
      <c r="C360" s="115" t="s">
        <v>1315</v>
      </c>
      <c r="D360" s="122">
        <v>1987</v>
      </c>
      <c r="E360" s="127"/>
      <c r="F360" s="127" t="s">
        <v>274</v>
      </c>
      <c r="G360" s="122">
        <v>2</v>
      </c>
      <c r="H360" s="122">
        <v>3</v>
      </c>
      <c r="I360" s="126">
        <v>1448.2</v>
      </c>
      <c r="J360" s="126">
        <v>864.2</v>
      </c>
      <c r="K360" s="126">
        <v>864.2</v>
      </c>
      <c r="L360" s="124">
        <v>53</v>
      </c>
      <c r="M360" s="122" t="s">
        <v>272</v>
      </c>
      <c r="N360" s="122" t="s">
        <v>276</v>
      </c>
      <c r="O360" s="125" t="s">
        <v>1435</v>
      </c>
      <c r="P360" s="126">
        <v>1604654.52</v>
      </c>
      <c r="Q360" s="126">
        <v>0</v>
      </c>
      <c r="R360" s="126">
        <v>0</v>
      </c>
      <c r="S360" s="126">
        <f t="shared" si="70"/>
        <v>1604654.52</v>
      </c>
      <c r="T360" s="126">
        <f t="shared" si="56"/>
        <v>1108.0337798646597</v>
      </c>
      <c r="U360" s="126">
        <v>3023.77</v>
      </c>
    </row>
    <row r="361" spans="1:21" s="67" customFormat="1" ht="61.5" x14ac:dyDescent="0.9">
      <c r="A361" s="67">
        <v>1</v>
      </c>
      <c r="B361" s="118">
        <f>SUBTOTAL(103,$A$16:A361)</f>
        <v>324</v>
      </c>
      <c r="C361" s="115" t="s">
        <v>1316</v>
      </c>
      <c r="D361" s="122">
        <v>1978</v>
      </c>
      <c r="E361" s="127"/>
      <c r="F361" s="127" t="s">
        <v>328</v>
      </c>
      <c r="G361" s="122">
        <v>5</v>
      </c>
      <c r="H361" s="122">
        <v>8</v>
      </c>
      <c r="I361" s="126">
        <v>7971.79</v>
      </c>
      <c r="J361" s="126">
        <v>6074.64</v>
      </c>
      <c r="K361" s="126">
        <v>6074.64</v>
      </c>
      <c r="L361" s="124">
        <v>264</v>
      </c>
      <c r="M361" s="122" t="s">
        <v>272</v>
      </c>
      <c r="N361" s="122" t="s">
        <v>276</v>
      </c>
      <c r="O361" s="125" t="s">
        <v>1435</v>
      </c>
      <c r="P361" s="126">
        <v>6332196.3999999994</v>
      </c>
      <c r="Q361" s="126">
        <v>0</v>
      </c>
      <c r="R361" s="126">
        <v>0</v>
      </c>
      <c r="S361" s="126">
        <f t="shared" si="70"/>
        <v>6332196.3999999994</v>
      </c>
      <c r="T361" s="126">
        <f t="shared" si="56"/>
        <v>794.32554043696575</v>
      </c>
      <c r="U361" s="126">
        <v>1312.1624503405133</v>
      </c>
    </row>
    <row r="362" spans="1:21" s="67" customFormat="1" ht="61.5" x14ac:dyDescent="0.9">
      <c r="A362" s="67">
        <v>1</v>
      </c>
      <c r="B362" s="118">
        <f>SUBTOTAL(103,$A$16:A362)</f>
        <v>325</v>
      </c>
      <c r="C362" s="115" t="s">
        <v>1317</v>
      </c>
      <c r="D362" s="122">
        <v>1974</v>
      </c>
      <c r="E362" s="127"/>
      <c r="F362" s="127" t="s">
        <v>274</v>
      </c>
      <c r="G362" s="122">
        <v>2</v>
      </c>
      <c r="H362" s="122">
        <v>2</v>
      </c>
      <c r="I362" s="126">
        <v>786.8</v>
      </c>
      <c r="J362" s="126">
        <v>786.8</v>
      </c>
      <c r="K362" s="126">
        <v>725.86</v>
      </c>
      <c r="L362" s="124">
        <v>26</v>
      </c>
      <c r="M362" s="122" t="s">
        <v>272</v>
      </c>
      <c r="N362" s="122" t="s">
        <v>276</v>
      </c>
      <c r="O362" s="125" t="s">
        <v>1434</v>
      </c>
      <c r="P362" s="126">
        <v>3369321.81</v>
      </c>
      <c r="Q362" s="126">
        <v>0</v>
      </c>
      <c r="R362" s="126">
        <v>0</v>
      </c>
      <c r="S362" s="126">
        <f t="shared" si="70"/>
        <v>3369321.81</v>
      </c>
      <c r="T362" s="126">
        <f t="shared" si="56"/>
        <v>4282.310383833249</v>
      </c>
      <c r="U362" s="126">
        <v>5746.7487290289773</v>
      </c>
    </row>
    <row r="363" spans="1:21" s="67" customFormat="1" ht="61.5" x14ac:dyDescent="0.9">
      <c r="B363" s="115" t="s">
        <v>884</v>
      </c>
      <c r="C363" s="115"/>
      <c r="D363" s="122" t="s">
        <v>943</v>
      </c>
      <c r="E363" s="122" t="s">
        <v>943</v>
      </c>
      <c r="F363" s="122" t="s">
        <v>943</v>
      </c>
      <c r="G363" s="122" t="s">
        <v>943</v>
      </c>
      <c r="H363" s="122" t="s">
        <v>943</v>
      </c>
      <c r="I363" s="123">
        <f>SUM(I364:I365)</f>
        <v>2529.2999999999997</v>
      </c>
      <c r="J363" s="123">
        <f t="shared" ref="J363:L363" si="71">SUM(J364:J365)</f>
        <v>2495.1999999999998</v>
      </c>
      <c r="K363" s="123">
        <f t="shared" si="71"/>
        <v>1873.5</v>
      </c>
      <c r="L363" s="124">
        <f t="shared" si="71"/>
        <v>114</v>
      </c>
      <c r="M363" s="122" t="s">
        <v>943</v>
      </c>
      <c r="N363" s="122" t="s">
        <v>943</v>
      </c>
      <c r="O363" s="125" t="s">
        <v>943</v>
      </c>
      <c r="P363" s="126">
        <v>3593882.32</v>
      </c>
      <c r="Q363" s="126">
        <f t="shared" ref="Q363:S363" si="72">SUM(Q364:Q365)</f>
        <v>0</v>
      </c>
      <c r="R363" s="126">
        <f t="shared" si="72"/>
        <v>0</v>
      </c>
      <c r="S363" s="126">
        <f t="shared" si="72"/>
        <v>3593882.32</v>
      </c>
      <c r="T363" s="126">
        <f t="shared" si="56"/>
        <v>1420.8999802316848</v>
      </c>
      <c r="U363" s="126">
        <f>MAX(U364:U365)</f>
        <v>1955.9219738586853</v>
      </c>
    </row>
    <row r="364" spans="1:21" s="67" customFormat="1" ht="61.5" x14ac:dyDescent="0.9">
      <c r="A364" s="67">
        <v>1</v>
      </c>
      <c r="B364" s="118">
        <f>SUBTOTAL(103,$A$16:A364)</f>
        <v>326</v>
      </c>
      <c r="C364" s="115" t="s">
        <v>122</v>
      </c>
      <c r="D364" s="122">
        <v>1984</v>
      </c>
      <c r="E364" s="127"/>
      <c r="F364" s="127" t="s">
        <v>295</v>
      </c>
      <c r="G364" s="122">
        <v>5</v>
      </c>
      <c r="H364" s="122">
        <v>3</v>
      </c>
      <c r="I364" s="126">
        <v>2111.6</v>
      </c>
      <c r="J364" s="126">
        <v>2111.6</v>
      </c>
      <c r="K364" s="126">
        <v>1535.5</v>
      </c>
      <c r="L364" s="124">
        <v>91</v>
      </c>
      <c r="M364" s="122" t="s">
        <v>272</v>
      </c>
      <c r="N364" s="122" t="s">
        <v>276</v>
      </c>
      <c r="O364" s="125" t="s">
        <v>294</v>
      </c>
      <c r="P364" s="126">
        <v>3060000</v>
      </c>
      <c r="Q364" s="126">
        <v>0</v>
      </c>
      <c r="R364" s="126">
        <v>0</v>
      </c>
      <c r="S364" s="126">
        <f t="shared" ref="S364:S365" si="73">P364-Q364-R364</f>
        <v>3060000</v>
      </c>
      <c r="T364" s="126">
        <f t="shared" si="56"/>
        <v>1449.1380943360487</v>
      </c>
      <c r="U364" s="126">
        <v>1955.9219738586853</v>
      </c>
    </row>
    <row r="365" spans="1:21" s="67" customFormat="1" ht="61.5" x14ac:dyDescent="0.9">
      <c r="A365" s="67">
        <v>1</v>
      </c>
      <c r="B365" s="118">
        <f>SUBTOTAL(103,$A$16:A365)</f>
        <v>327</v>
      </c>
      <c r="C365" s="115" t="s">
        <v>1318</v>
      </c>
      <c r="D365" s="122">
        <v>1987</v>
      </c>
      <c r="E365" s="127"/>
      <c r="F365" s="127" t="s">
        <v>274</v>
      </c>
      <c r="G365" s="122">
        <v>2</v>
      </c>
      <c r="H365" s="122">
        <v>1</v>
      </c>
      <c r="I365" s="126">
        <v>417.7</v>
      </c>
      <c r="J365" s="126">
        <v>383.6</v>
      </c>
      <c r="K365" s="126">
        <v>338</v>
      </c>
      <c r="L365" s="124">
        <v>23</v>
      </c>
      <c r="M365" s="122" t="s">
        <v>272</v>
      </c>
      <c r="N365" s="122" t="s">
        <v>273</v>
      </c>
      <c r="O365" s="125" t="s">
        <v>275</v>
      </c>
      <c r="P365" s="126">
        <v>533882.31999999995</v>
      </c>
      <c r="Q365" s="126">
        <v>0</v>
      </c>
      <c r="R365" s="126">
        <v>0</v>
      </c>
      <c r="S365" s="126">
        <f t="shared" si="73"/>
        <v>533882.31999999995</v>
      </c>
      <c r="T365" s="126">
        <f t="shared" si="56"/>
        <v>1278.1477615513525</v>
      </c>
      <c r="U365" s="126">
        <v>1278.1477615513525</v>
      </c>
    </row>
    <row r="366" spans="1:21" s="67" customFormat="1" ht="61.5" x14ac:dyDescent="0.9">
      <c r="B366" s="115" t="s">
        <v>944</v>
      </c>
      <c r="C366" s="115"/>
      <c r="D366" s="122" t="s">
        <v>943</v>
      </c>
      <c r="E366" s="122" t="s">
        <v>943</v>
      </c>
      <c r="F366" s="122" t="s">
        <v>943</v>
      </c>
      <c r="G366" s="122" t="s">
        <v>943</v>
      </c>
      <c r="H366" s="122" t="s">
        <v>943</v>
      </c>
      <c r="I366" s="123">
        <f>I367</f>
        <v>375</v>
      </c>
      <c r="J366" s="123">
        <f t="shared" ref="J366:L366" si="74">J367</f>
        <v>310.39999999999998</v>
      </c>
      <c r="K366" s="123">
        <f t="shared" si="74"/>
        <v>203</v>
      </c>
      <c r="L366" s="124">
        <f t="shared" si="74"/>
        <v>14</v>
      </c>
      <c r="M366" s="122" t="s">
        <v>943</v>
      </c>
      <c r="N366" s="122" t="s">
        <v>943</v>
      </c>
      <c r="O366" s="125" t="s">
        <v>943</v>
      </c>
      <c r="P366" s="126">
        <v>2727875.44</v>
      </c>
      <c r="Q366" s="126">
        <f t="shared" ref="Q366:S366" si="75">Q367</f>
        <v>0</v>
      </c>
      <c r="R366" s="126">
        <f t="shared" si="75"/>
        <v>0</v>
      </c>
      <c r="S366" s="126">
        <f t="shared" si="75"/>
        <v>2727875.44</v>
      </c>
      <c r="T366" s="126">
        <f t="shared" si="56"/>
        <v>7274.3345066666661</v>
      </c>
      <c r="U366" s="126">
        <f>MAX(U367)</f>
        <v>13005.064829333332</v>
      </c>
    </row>
    <row r="367" spans="1:21" s="67" customFormat="1" ht="61.5" x14ac:dyDescent="0.9">
      <c r="A367" s="67">
        <v>1</v>
      </c>
      <c r="B367" s="118">
        <f>SUBTOTAL(103,$A$16:A367)</f>
        <v>328</v>
      </c>
      <c r="C367" s="115" t="s">
        <v>123</v>
      </c>
      <c r="D367" s="122">
        <v>1966</v>
      </c>
      <c r="E367" s="127"/>
      <c r="F367" s="127" t="s">
        <v>274</v>
      </c>
      <c r="G367" s="122">
        <v>2</v>
      </c>
      <c r="H367" s="122">
        <v>1</v>
      </c>
      <c r="I367" s="126">
        <v>375</v>
      </c>
      <c r="J367" s="126">
        <v>310.39999999999998</v>
      </c>
      <c r="K367" s="126">
        <v>203</v>
      </c>
      <c r="L367" s="124">
        <v>14</v>
      </c>
      <c r="M367" s="122" t="s">
        <v>272</v>
      </c>
      <c r="N367" s="122" t="s">
        <v>273</v>
      </c>
      <c r="O367" s="125" t="s">
        <v>275</v>
      </c>
      <c r="P367" s="126">
        <v>2727875.44</v>
      </c>
      <c r="Q367" s="126">
        <v>0</v>
      </c>
      <c r="R367" s="126">
        <v>0</v>
      </c>
      <c r="S367" s="126">
        <f>P367-Q367-R367</f>
        <v>2727875.44</v>
      </c>
      <c r="T367" s="126">
        <f t="shared" si="56"/>
        <v>7274.3345066666661</v>
      </c>
      <c r="U367" s="126">
        <v>13005.064829333332</v>
      </c>
    </row>
    <row r="368" spans="1:21" s="67" customFormat="1" ht="61.5" x14ac:dyDescent="0.9">
      <c r="B368" s="115" t="s">
        <v>885</v>
      </c>
      <c r="C368" s="115"/>
      <c r="D368" s="122" t="s">
        <v>943</v>
      </c>
      <c r="E368" s="122" t="s">
        <v>943</v>
      </c>
      <c r="F368" s="122" t="s">
        <v>943</v>
      </c>
      <c r="G368" s="122" t="s">
        <v>943</v>
      </c>
      <c r="H368" s="122" t="s">
        <v>943</v>
      </c>
      <c r="I368" s="123">
        <f>I369</f>
        <v>1156.21</v>
      </c>
      <c r="J368" s="123">
        <f t="shared" ref="J368:L368" si="76">J369</f>
        <v>880.01</v>
      </c>
      <c r="K368" s="123">
        <f t="shared" si="76"/>
        <v>880.01</v>
      </c>
      <c r="L368" s="124">
        <f t="shared" si="76"/>
        <v>34</v>
      </c>
      <c r="M368" s="122" t="s">
        <v>943</v>
      </c>
      <c r="N368" s="122" t="s">
        <v>943</v>
      </c>
      <c r="O368" s="125" t="s">
        <v>943</v>
      </c>
      <c r="P368" s="126">
        <v>3859455.67</v>
      </c>
      <c r="Q368" s="126">
        <f t="shared" ref="Q368:S368" si="77">Q369</f>
        <v>0</v>
      </c>
      <c r="R368" s="126">
        <f t="shared" si="77"/>
        <v>0</v>
      </c>
      <c r="S368" s="126">
        <f t="shared" si="77"/>
        <v>3859455.67</v>
      </c>
      <c r="T368" s="126">
        <f t="shared" si="56"/>
        <v>3338.0230840418262</v>
      </c>
      <c r="U368" s="126">
        <f>MAX(U369)</f>
        <v>3976.555517855752</v>
      </c>
    </row>
    <row r="369" spans="1:21" s="67" customFormat="1" ht="61.5" x14ac:dyDescent="0.9">
      <c r="A369" s="67">
        <v>1</v>
      </c>
      <c r="B369" s="118">
        <f>SUBTOTAL(103,$A$16:A369)</f>
        <v>329</v>
      </c>
      <c r="C369" s="115" t="s">
        <v>124</v>
      </c>
      <c r="D369" s="122">
        <v>1990</v>
      </c>
      <c r="E369" s="127"/>
      <c r="F369" s="127" t="s">
        <v>274</v>
      </c>
      <c r="G369" s="122">
        <v>2</v>
      </c>
      <c r="H369" s="122">
        <v>3</v>
      </c>
      <c r="I369" s="126">
        <v>1156.21</v>
      </c>
      <c r="J369" s="126">
        <v>880.01</v>
      </c>
      <c r="K369" s="126">
        <v>880.01</v>
      </c>
      <c r="L369" s="124">
        <v>34</v>
      </c>
      <c r="M369" s="122" t="s">
        <v>272</v>
      </c>
      <c r="N369" s="122" t="s">
        <v>273</v>
      </c>
      <c r="O369" s="125" t="s">
        <v>275</v>
      </c>
      <c r="P369" s="126">
        <v>3859455.67</v>
      </c>
      <c r="Q369" s="126">
        <v>0</v>
      </c>
      <c r="R369" s="126">
        <v>0</v>
      </c>
      <c r="S369" s="126">
        <f>P369-Q369-R369</f>
        <v>3859455.67</v>
      </c>
      <c r="T369" s="126">
        <f t="shared" si="56"/>
        <v>3338.0230840418262</v>
      </c>
      <c r="U369" s="126">
        <v>3976.555517855752</v>
      </c>
    </row>
    <row r="370" spans="1:21" s="67" customFormat="1" ht="61.5" x14ac:dyDescent="0.9">
      <c r="B370" s="115" t="s">
        <v>886</v>
      </c>
      <c r="C370" s="119"/>
      <c r="D370" s="122" t="s">
        <v>943</v>
      </c>
      <c r="E370" s="122" t="s">
        <v>943</v>
      </c>
      <c r="F370" s="122" t="s">
        <v>943</v>
      </c>
      <c r="G370" s="122" t="s">
        <v>943</v>
      </c>
      <c r="H370" s="122" t="s">
        <v>943</v>
      </c>
      <c r="I370" s="123">
        <f>SUM(I371:I373)</f>
        <v>2274.1999999999998</v>
      </c>
      <c r="J370" s="123">
        <f t="shared" ref="J370:L370" si="78">SUM(J371:J373)</f>
        <v>1998.7000000000003</v>
      </c>
      <c r="K370" s="123">
        <f t="shared" si="78"/>
        <v>1998.7000000000003</v>
      </c>
      <c r="L370" s="124">
        <f t="shared" si="78"/>
        <v>94</v>
      </c>
      <c r="M370" s="122" t="s">
        <v>943</v>
      </c>
      <c r="N370" s="122" t="s">
        <v>943</v>
      </c>
      <c r="O370" s="125" t="s">
        <v>943</v>
      </c>
      <c r="P370" s="126">
        <v>10271754.799999999</v>
      </c>
      <c r="Q370" s="126">
        <f t="shared" ref="Q370:S370" si="79">Q371+Q372+Q373</f>
        <v>0</v>
      </c>
      <c r="R370" s="126">
        <f t="shared" si="79"/>
        <v>0</v>
      </c>
      <c r="S370" s="126">
        <f t="shared" si="79"/>
        <v>10271754.799999999</v>
      </c>
      <c r="T370" s="126">
        <f t="shared" si="56"/>
        <v>4516.645325828863</v>
      </c>
      <c r="U370" s="126">
        <f>MAX(U371:U373)</f>
        <v>6264.1396439740192</v>
      </c>
    </row>
    <row r="371" spans="1:21" s="67" customFormat="1" ht="61.5" x14ac:dyDescent="0.9">
      <c r="A371" s="67">
        <v>1</v>
      </c>
      <c r="B371" s="118">
        <f>SUBTOTAL(103,$A$16:A371)</f>
        <v>330</v>
      </c>
      <c r="C371" s="115" t="s">
        <v>175</v>
      </c>
      <c r="D371" s="122">
        <v>1957</v>
      </c>
      <c r="E371" s="127"/>
      <c r="F371" s="127" t="s">
        <v>274</v>
      </c>
      <c r="G371" s="122">
        <v>2</v>
      </c>
      <c r="H371" s="122">
        <v>2</v>
      </c>
      <c r="I371" s="126">
        <v>765.1</v>
      </c>
      <c r="J371" s="126">
        <v>686.7</v>
      </c>
      <c r="K371" s="126">
        <v>686.7</v>
      </c>
      <c r="L371" s="124">
        <v>26</v>
      </c>
      <c r="M371" s="122" t="s">
        <v>272</v>
      </c>
      <c r="N371" s="122" t="s">
        <v>347</v>
      </c>
      <c r="O371" s="125" t="s">
        <v>1073</v>
      </c>
      <c r="P371" s="126">
        <v>3297577.4</v>
      </c>
      <c r="Q371" s="126">
        <v>0</v>
      </c>
      <c r="R371" s="126">
        <v>0</v>
      </c>
      <c r="S371" s="126">
        <f t="shared" ref="S371:S373" si="80">P371-Q371-R371</f>
        <v>3297577.4</v>
      </c>
      <c r="T371" s="126">
        <f t="shared" si="56"/>
        <v>4309.9952947327147</v>
      </c>
      <c r="U371" s="126">
        <v>5071.7915958698204</v>
      </c>
    </row>
    <row r="372" spans="1:21" s="67" customFormat="1" ht="61.5" x14ac:dyDescent="0.9">
      <c r="A372" s="67">
        <v>1</v>
      </c>
      <c r="B372" s="118">
        <f>SUBTOTAL(103,$A$16:A372)</f>
        <v>331</v>
      </c>
      <c r="C372" s="115" t="s">
        <v>176</v>
      </c>
      <c r="D372" s="122">
        <v>1957</v>
      </c>
      <c r="E372" s="127"/>
      <c r="F372" s="127" t="s">
        <v>274</v>
      </c>
      <c r="G372" s="122">
        <v>2</v>
      </c>
      <c r="H372" s="122">
        <v>2</v>
      </c>
      <c r="I372" s="126">
        <v>415.7</v>
      </c>
      <c r="J372" s="126">
        <v>368.1</v>
      </c>
      <c r="K372" s="126">
        <v>368.1</v>
      </c>
      <c r="L372" s="124">
        <v>23</v>
      </c>
      <c r="M372" s="122" t="s">
        <v>272</v>
      </c>
      <c r="N372" s="122" t="s">
        <v>347</v>
      </c>
      <c r="O372" s="125" t="s">
        <v>862</v>
      </c>
      <c r="P372" s="126">
        <v>2511681.2799999998</v>
      </c>
      <c r="Q372" s="126">
        <v>0</v>
      </c>
      <c r="R372" s="126">
        <v>0</v>
      </c>
      <c r="S372" s="126">
        <f t="shared" si="80"/>
        <v>2511681.2799999998</v>
      </c>
      <c r="T372" s="126">
        <f t="shared" si="56"/>
        <v>6042.0526341111372</v>
      </c>
      <c r="U372" s="126">
        <v>6264.1396439740192</v>
      </c>
    </row>
    <row r="373" spans="1:21" s="67" customFormat="1" ht="61.5" x14ac:dyDescent="0.9">
      <c r="A373" s="67">
        <v>1</v>
      </c>
      <c r="B373" s="118">
        <f>SUBTOTAL(103,$A$16:A373)</f>
        <v>332</v>
      </c>
      <c r="C373" s="115" t="s">
        <v>174</v>
      </c>
      <c r="D373" s="122">
        <v>1983</v>
      </c>
      <c r="E373" s="127"/>
      <c r="F373" s="127" t="s">
        <v>274</v>
      </c>
      <c r="G373" s="122">
        <v>2</v>
      </c>
      <c r="H373" s="122">
        <v>3</v>
      </c>
      <c r="I373" s="126">
        <v>1093.4000000000001</v>
      </c>
      <c r="J373" s="126">
        <v>943.9</v>
      </c>
      <c r="K373" s="126">
        <v>943.9</v>
      </c>
      <c r="L373" s="124">
        <v>45</v>
      </c>
      <c r="M373" s="122" t="s">
        <v>272</v>
      </c>
      <c r="N373" s="122" t="s">
        <v>347</v>
      </c>
      <c r="O373" s="125" t="s">
        <v>862</v>
      </c>
      <c r="P373" s="126">
        <v>4462496.1199999992</v>
      </c>
      <c r="Q373" s="126">
        <v>0</v>
      </c>
      <c r="R373" s="126">
        <v>0</v>
      </c>
      <c r="S373" s="126">
        <f t="shared" si="80"/>
        <v>4462496.1199999992</v>
      </c>
      <c r="T373" s="126">
        <f t="shared" si="56"/>
        <v>4081.302469361623</v>
      </c>
      <c r="U373" s="126">
        <v>4125.8327236144132</v>
      </c>
    </row>
    <row r="374" spans="1:21" s="67" customFormat="1" ht="61.5" x14ac:dyDescent="0.9">
      <c r="B374" s="115" t="s">
        <v>887</v>
      </c>
      <c r="C374" s="115"/>
      <c r="D374" s="122" t="s">
        <v>943</v>
      </c>
      <c r="E374" s="122" t="s">
        <v>943</v>
      </c>
      <c r="F374" s="122" t="s">
        <v>943</v>
      </c>
      <c r="G374" s="122" t="s">
        <v>943</v>
      </c>
      <c r="H374" s="122" t="s">
        <v>943</v>
      </c>
      <c r="I374" s="123">
        <f>SUM(I375:I376)</f>
        <v>1157</v>
      </c>
      <c r="J374" s="123">
        <f t="shared" ref="J374:L374" si="81">SUM(J375:J376)</f>
        <v>1036</v>
      </c>
      <c r="K374" s="123">
        <f t="shared" si="81"/>
        <v>991</v>
      </c>
      <c r="L374" s="124">
        <f t="shared" si="81"/>
        <v>49</v>
      </c>
      <c r="M374" s="122" t="s">
        <v>943</v>
      </c>
      <c r="N374" s="122" t="s">
        <v>943</v>
      </c>
      <c r="O374" s="125" t="s">
        <v>943</v>
      </c>
      <c r="P374" s="126">
        <v>4635021.79</v>
      </c>
      <c r="Q374" s="126">
        <f t="shared" ref="Q374:S374" si="82">Q375+Q376</f>
        <v>0</v>
      </c>
      <c r="R374" s="126">
        <f t="shared" si="82"/>
        <v>0</v>
      </c>
      <c r="S374" s="126">
        <f t="shared" si="82"/>
        <v>4635021.79</v>
      </c>
      <c r="T374" s="126">
        <f t="shared" si="56"/>
        <v>4006.0689628349178</v>
      </c>
      <c r="U374" s="126">
        <f>MAX(U375:U376)</f>
        <v>6733.7705043859651</v>
      </c>
    </row>
    <row r="375" spans="1:21" s="67" customFormat="1" ht="61.5" x14ac:dyDescent="0.9">
      <c r="A375" s="67">
        <v>1</v>
      </c>
      <c r="B375" s="118">
        <f>SUBTOTAL(103,$A$16:A375)</f>
        <v>333</v>
      </c>
      <c r="C375" s="115" t="s">
        <v>173</v>
      </c>
      <c r="D375" s="122">
        <v>1956</v>
      </c>
      <c r="E375" s="127"/>
      <c r="F375" s="127" t="s">
        <v>274</v>
      </c>
      <c r="G375" s="122">
        <v>2</v>
      </c>
      <c r="H375" s="122">
        <v>2</v>
      </c>
      <c r="I375" s="126">
        <v>456</v>
      </c>
      <c r="J375" s="126">
        <v>399</v>
      </c>
      <c r="K375" s="126">
        <v>399</v>
      </c>
      <c r="L375" s="124">
        <v>16</v>
      </c>
      <c r="M375" s="122" t="s">
        <v>272</v>
      </c>
      <c r="N375" s="122" t="s">
        <v>347</v>
      </c>
      <c r="O375" s="125" t="s">
        <v>1074</v>
      </c>
      <c r="P375" s="126">
        <v>2330177.85</v>
      </c>
      <c r="Q375" s="126">
        <v>0</v>
      </c>
      <c r="R375" s="126">
        <v>0</v>
      </c>
      <c r="S375" s="126">
        <f t="shared" ref="S375:S376" si="83">P375-Q375-R375</f>
        <v>2330177.85</v>
      </c>
      <c r="T375" s="126">
        <f t="shared" si="56"/>
        <v>5110.039144736842</v>
      </c>
      <c r="U375" s="126">
        <v>6733.7705043859651</v>
      </c>
    </row>
    <row r="376" spans="1:21" s="67" customFormat="1" ht="61.5" x14ac:dyDescent="0.9">
      <c r="A376" s="67">
        <v>1</v>
      </c>
      <c r="B376" s="118">
        <f>SUBTOTAL(103,$A$16:A376)</f>
        <v>334</v>
      </c>
      <c r="C376" s="115" t="s">
        <v>1321</v>
      </c>
      <c r="D376" s="122">
        <v>1960</v>
      </c>
      <c r="E376" s="127"/>
      <c r="F376" s="127" t="s">
        <v>274</v>
      </c>
      <c r="G376" s="122">
        <v>2</v>
      </c>
      <c r="H376" s="122">
        <v>2</v>
      </c>
      <c r="I376" s="126">
        <v>701</v>
      </c>
      <c r="J376" s="126">
        <v>637</v>
      </c>
      <c r="K376" s="126">
        <v>592</v>
      </c>
      <c r="L376" s="124">
        <v>33</v>
      </c>
      <c r="M376" s="122" t="s">
        <v>272</v>
      </c>
      <c r="N376" s="122" t="s">
        <v>276</v>
      </c>
      <c r="O376" s="125" t="s">
        <v>1074</v>
      </c>
      <c r="P376" s="126">
        <v>2304843.94</v>
      </c>
      <c r="Q376" s="126">
        <v>0</v>
      </c>
      <c r="R376" s="126">
        <v>0</v>
      </c>
      <c r="S376" s="126">
        <f t="shared" si="83"/>
        <v>2304843.94</v>
      </c>
      <c r="T376" s="126">
        <f t="shared" si="56"/>
        <v>3287.9371469329531</v>
      </c>
      <c r="U376" s="126">
        <v>3697.5499999999997</v>
      </c>
    </row>
    <row r="377" spans="1:21" s="67" customFormat="1" ht="61.5" x14ac:dyDescent="0.9">
      <c r="B377" s="115" t="s">
        <v>889</v>
      </c>
      <c r="C377" s="115"/>
      <c r="D377" s="122" t="s">
        <v>943</v>
      </c>
      <c r="E377" s="122" t="s">
        <v>943</v>
      </c>
      <c r="F377" s="122" t="s">
        <v>943</v>
      </c>
      <c r="G377" s="122" t="s">
        <v>943</v>
      </c>
      <c r="H377" s="122" t="s">
        <v>943</v>
      </c>
      <c r="I377" s="123">
        <f>I378</f>
        <v>407.9</v>
      </c>
      <c r="J377" s="123">
        <f t="shared" ref="J377:L377" si="84">J378</f>
        <v>352.3</v>
      </c>
      <c r="K377" s="123">
        <f t="shared" si="84"/>
        <v>308.3</v>
      </c>
      <c r="L377" s="124">
        <f t="shared" si="84"/>
        <v>24</v>
      </c>
      <c r="M377" s="122" t="s">
        <v>943</v>
      </c>
      <c r="N377" s="122" t="s">
        <v>943</v>
      </c>
      <c r="O377" s="125" t="s">
        <v>943</v>
      </c>
      <c r="P377" s="126">
        <v>1547699.36</v>
      </c>
      <c r="Q377" s="126">
        <f t="shared" ref="Q377:S377" si="85">Q378</f>
        <v>0</v>
      </c>
      <c r="R377" s="126">
        <f t="shared" si="85"/>
        <v>0</v>
      </c>
      <c r="S377" s="126">
        <f t="shared" si="85"/>
        <v>1547699.36</v>
      </c>
      <c r="T377" s="126">
        <f t="shared" si="56"/>
        <v>3794.3107624417753</v>
      </c>
      <c r="U377" s="126">
        <f>MAX(U378)</f>
        <v>4963.4003432213776</v>
      </c>
    </row>
    <row r="378" spans="1:21" s="67" customFormat="1" ht="61.5" x14ac:dyDescent="0.9">
      <c r="A378" s="67">
        <v>1</v>
      </c>
      <c r="B378" s="118">
        <f>SUBTOTAL(103,$A$16:A378)</f>
        <v>335</v>
      </c>
      <c r="C378" s="115" t="s">
        <v>172</v>
      </c>
      <c r="D378" s="122">
        <v>1954</v>
      </c>
      <c r="E378" s="127"/>
      <c r="F378" s="127" t="s">
        <v>274</v>
      </c>
      <c r="G378" s="122">
        <v>2</v>
      </c>
      <c r="H378" s="122">
        <v>2</v>
      </c>
      <c r="I378" s="126">
        <v>407.9</v>
      </c>
      <c r="J378" s="126">
        <v>352.3</v>
      </c>
      <c r="K378" s="126">
        <v>308.3</v>
      </c>
      <c r="L378" s="124">
        <v>24</v>
      </c>
      <c r="M378" s="122" t="s">
        <v>272</v>
      </c>
      <c r="N378" s="122" t="s">
        <v>273</v>
      </c>
      <c r="O378" s="125" t="s">
        <v>275</v>
      </c>
      <c r="P378" s="126">
        <v>1547699.36</v>
      </c>
      <c r="Q378" s="126">
        <v>0</v>
      </c>
      <c r="R378" s="126">
        <v>0</v>
      </c>
      <c r="S378" s="126">
        <f>P378-Q378-R378</f>
        <v>1547699.36</v>
      </c>
      <c r="T378" s="126">
        <f t="shared" si="56"/>
        <v>3794.3107624417753</v>
      </c>
      <c r="U378" s="126">
        <v>4963.4003432213776</v>
      </c>
    </row>
    <row r="379" spans="1:21" s="67" customFormat="1" ht="61.5" x14ac:dyDescent="0.9">
      <c r="B379" s="115" t="s">
        <v>888</v>
      </c>
      <c r="C379" s="115"/>
      <c r="D379" s="122" t="s">
        <v>943</v>
      </c>
      <c r="E379" s="122" t="s">
        <v>943</v>
      </c>
      <c r="F379" s="122" t="s">
        <v>943</v>
      </c>
      <c r="G379" s="122" t="s">
        <v>943</v>
      </c>
      <c r="H379" s="122" t="s">
        <v>943</v>
      </c>
      <c r="I379" s="123">
        <f>SUM(I380:I382)</f>
        <v>1735.8</v>
      </c>
      <c r="J379" s="123">
        <f t="shared" ref="J379:L379" si="86">SUM(J380:J382)</f>
        <v>1548.8000000000002</v>
      </c>
      <c r="K379" s="123">
        <f t="shared" si="86"/>
        <v>1096.5999999999999</v>
      </c>
      <c r="L379" s="124">
        <f t="shared" si="86"/>
        <v>61</v>
      </c>
      <c r="M379" s="122" t="s">
        <v>943</v>
      </c>
      <c r="N379" s="122" t="s">
        <v>943</v>
      </c>
      <c r="O379" s="125" t="s">
        <v>943</v>
      </c>
      <c r="P379" s="126">
        <v>5905191.6600000001</v>
      </c>
      <c r="Q379" s="126">
        <f t="shared" ref="Q379:S379" si="87">Q380+Q381+Q382</f>
        <v>0</v>
      </c>
      <c r="R379" s="126">
        <f t="shared" si="87"/>
        <v>0</v>
      </c>
      <c r="S379" s="126">
        <f t="shared" si="87"/>
        <v>5905191.6600000001</v>
      </c>
      <c r="T379" s="126">
        <f t="shared" si="56"/>
        <v>3402.0000345661942</v>
      </c>
      <c r="U379" s="126">
        <f>MAX(U380:U382)</f>
        <v>7409.277452132701</v>
      </c>
    </row>
    <row r="380" spans="1:21" s="67" customFormat="1" ht="61.5" x14ac:dyDescent="0.9">
      <c r="A380" s="67">
        <v>1</v>
      </c>
      <c r="B380" s="118">
        <f>SUBTOTAL(103,$A$16:A380)</f>
        <v>336</v>
      </c>
      <c r="C380" s="115" t="s">
        <v>187</v>
      </c>
      <c r="D380" s="122">
        <v>1955</v>
      </c>
      <c r="E380" s="127"/>
      <c r="F380" s="127" t="s">
        <v>274</v>
      </c>
      <c r="G380" s="122">
        <v>2</v>
      </c>
      <c r="H380" s="122">
        <v>1</v>
      </c>
      <c r="I380" s="126">
        <v>545.6</v>
      </c>
      <c r="J380" s="126">
        <v>501.6</v>
      </c>
      <c r="K380" s="126">
        <v>384.3</v>
      </c>
      <c r="L380" s="124">
        <v>27</v>
      </c>
      <c r="M380" s="122" t="s">
        <v>272</v>
      </c>
      <c r="N380" s="122" t="s">
        <v>273</v>
      </c>
      <c r="O380" s="125" t="s">
        <v>275</v>
      </c>
      <c r="P380" s="126">
        <v>1659429.9100000001</v>
      </c>
      <c r="Q380" s="126">
        <v>0</v>
      </c>
      <c r="R380" s="126">
        <v>0</v>
      </c>
      <c r="S380" s="126">
        <f t="shared" ref="S380:S382" si="88">P380-Q380-R380</f>
        <v>1659429.9100000001</v>
      </c>
      <c r="T380" s="126">
        <f t="shared" si="56"/>
        <v>3041.4771077712612</v>
      </c>
      <c r="U380" s="126">
        <v>5571.5943695014657</v>
      </c>
    </row>
    <row r="381" spans="1:21" s="67" customFormat="1" ht="61.5" x14ac:dyDescent="0.9">
      <c r="A381" s="67">
        <v>1</v>
      </c>
      <c r="B381" s="118">
        <f>SUBTOTAL(103,$A$16:A381)</f>
        <v>337</v>
      </c>
      <c r="C381" s="115" t="s">
        <v>1319</v>
      </c>
      <c r="D381" s="122">
        <v>1965</v>
      </c>
      <c r="E381" s="127"/>
      <c r="F381" s="127" t="s">
        <v>274</v>
      </c>
      <c r="G381" s="122">
        <v>2</v>
      </c>
      <c r="H381" s="122">
        <v>2</v>
      </c>
      <c r="I381" s="126">
        <v>527.5</v>
      </c>
      <c r="J381" s="126">
        <v>437.3</v>
      </c>
      <c r="K381" s="126">
        <v>292.89999999999998</v>
      </c>
      <c r="L381" s="124">
        <v>14</v>
      </c>
      <c r="M381" s="122" t="s">
        <v>272</v>
      </c>
      <c r="N381" s="122" t="s">
        <v>276</v>
      </c>
      <c r="O381" s="125" t="s">
        <v>1437</v>
      </c>
      <c r="P381" s="126">
        <v>1919023.42</v>
      </c>
      <c r="Q381" s="126">
        <v>0</v>
      </c>
      <c r="R381" s="126">
        <v>0</v>
      </c>
      <c r="S381" s="126">
        <f t="shared" si="88"/>
        <v>1919023.42</v>
      </c>
      <c r="T381" s="126">
        <f t="shared" si="56"/>
        <v>3637.9590900473931</v>
      </c>
      <c r="U381" s="126">
        <v>7409.277452132701</v>
      </c>
    </row>
    <row r="382" spans="1:21" s="67" customFormat="1" ht="61.5" x14ac:dyDescent="0.9">
      <c r="A382" s="67">
        <v>1</v>
      </c>
      <c r="B382" s="118">
        <f>SUBTOTAL(103,$A$16:A382)</f>
        <v>338</v>
      </c>
      <c r="C382" s="115" t="s">
        <v>1320</v>
      </c>
      <c r="D382" s="122">
        <v>1963</v>
      </c>
      <c r="E382" s="127"/>
      <c r="F382" s="127" t="s">
        <v>274</v>
      </c>
      <c r="G382" s="122">
        <v>2</v>
      </c>
      <c r="H382" s="122">
        <v>2</v>
      </c>
      <c r="I382" s="126">
        <v>662.7</v>
      </c>
      <c r="J382" s="126">
        <v>609.9</v>
      </c>
      <c r="K382" s="126">
        <v>419.4</v>
      </c>
      <c r="L382" s="124">
        <v>20</v>
      </c>
      <c r="M382" s="122" t="s">
        <v>272</v>
      </c>
      <c r="N382" s="122" t="s">
        <v>276</v>
      </c>
      <c r="O382" s="125" t="s">
        <v>1437</v>
      </c>
      <c r="P382" s="126">
        <v>2326738.3299999996</v>
      </c>
      <c r="Q382" s="126">
        <v>0</v>
      </c>
      <c r="R382" s="126">
        <v>0</v>
      </c>
      <c r="S382" s="126">
        <f t="shared" si="88"/>
        <v>2326738.3299999996</v>
      </c>
      <c r="T382" s="126">
        <f t="shared" si="56"/>
        <v>3510.9979326995617</v>
      </c>
      <c r="U382" s="126">
        <v>5451.1989150445143</v>
      </c>
    </row>
    <row r="383" spans="1:21" s="67" customFormat="1" ht="61.5" x14ac:dyDescent="0.9">
      <c r="B383" s="115" t="s">
        <v>923</v>
      </c>
      <c r="C383" s="115"/>
      <c r="D383" s="122" t="s">
        <v>943</v>
      </c>
      <c r="E383" s="122" t="s">
        <v>943</v>
      </c>
      <c r="F383" s="122" t="s">
        <v>943</v>
      </c>
      <c r="G383" s="122" t="s">
        <v>943</v>
      </c>
      <c r="H383" s="122" t="s">
        <v>943</v>
      </c>
      <c r="I383" s="123">
        <f>I384</f>
        <v>829.4</v>
      </c>
      <c r="J383" s="123">
        <f t="shared" ref="J383:L383" si="89">J384</f>
        <v>758.4</v>
      </c>
      <c r="K383" s="123">
        <f t="shared" si="89"/>
        <v>671.6</v>
      </c>
      <c r="L383" s="124">
        <f t="shared" si="89"/>
        <v>24</v>
      </c>
      <c r="M383" s="122" t="s">
        <v>943</v>
      </c>
      <c r="N383" s="122" t="s">
        <v>943</v>
      </c>
      <c r="O383" s="125" t="s">
        <v>943</v>
      </c>
      <c r="P383" s="126">
        <v>3230853.85</v>
      </c>
      <c r="Q383" s="126">
        <f t="shared" ref="Q383:S383" si="90">Q384</f>
        <v>0</v>
      </c>
      <c r="R383" s="126">
        <f t="shared" si="90"/>
        <v>0</v>
      </c>
      <c r="S383" s="126">
        <f t="shared" si="90"/>
        <v>3230853.85</v>
      </c>
      <c r="T383" s="126">
        <f t="shared" si="56"/>
        <v>3895.4109597299253</v>
      </c>
      <c r="U383" s="126">
        <f>MAX(U384)</f>
        <v>6386.3500245960931</v>
      </c>
    </row>
    <row r="384" spans="1:21" s="67" customFormat="1" ht="61.5" x14ac:dyDescent="0.9">
      <c r="A384" s="67">
        <v>1</v>
      </c>
      <c r="B384" s="118">
        <f>SUBTOTAL(103,$A$16:A384)</f>
        <v>339</v>
      </c>
      <c r="C384" s="115" t="s">
        <v>1322</v>
      </c>
      <c r="D384" s="122">
        <v>1972</v>
      </c>
      <c r="E384" s="127">
        <v>2010</v>
      </c>
      <c r="F384" s="127" t="s">
        <v>274</v>
      </c>
      <c r="G384" s="122">
        <v>2</v>
      </c>
      <c r="H384" s="122">
        <v>2</v>
      </c>
      <c r="I384" s="126">
        <v>829.4</v>
      </c>
      <c r="J384" s="126">
        <v>758.4</v>
      </c>
      <c r="K384" s="126">
        <v>671.6</v>
      </c>
      <c r="L384" s="124">
        <v>24</v>
      </c>
      <c r="M384" s="122" t="s">
        <v>272</v>
      </c>
      <c r="N384" s="122" t="s">
        <v>276</v>
      </c>
      <c r="O384" s="125" t="s">
        <v>862</v>
      </c>
      <c r="P384" s="126">
        <v>3230853.85</v>
      </c>
      <c r="Q384" s="126">
        <v>0</v>
      </c>
      <c r="R384" s="126">
        <v>0</v>
      </c>
      <c r="S384" s="126">
        <f>P384-Q384-R384</f>
        <v>3230853.85</v>
      </c>
      <c r="T384" s="126">
        <f t="shared" si="56"/>
        <v>3895.4109597299253</v>
      </c>
      <c r="U384" s="126">
        <v>6386.3500245960931</v>
      </c>
    </row>
    <row r="385" spans="1:21" s="67" customFormat="1" ht="61.5" x14ac:dyDescent="0.9">
      <c r="B385" s="115" t="s">
        <v>890</v>
      </c>
      <c r="C385" s="119"/>
      <c r="D385" s="122" t="s">
        <v>943</v>
      </c>
      <c r="E385" s="122" t="s">
        <v>943</v>
      </c>
      <c r="F385" s="122" t="s">
        <v>943</v>
      </c>
      <c r="G385" s="122" t="s">
        <v>943</v>
      </c>
      <c r="H385" s="122" t="s">
        <v>943</v>
      </c>
      <c r="I385" s="123">
        <f>SUM(I386:I392)</f>
        <v>18010.5</v>
      </c>
      <c r="J385" s="123">
        <f t="shared" ref="J385:L385" si="91">SUM(J386:J392)</f>
        <v>14300.1</v>
      </c>
      <c r="K385" s="123">
        <f t="shared" si="91"/>
        <v>13247.1</v>
      </c>
      <c r="L385" s="124">
        <f t="shared" si="91"/>
        <v>545</v>
      </c>
      <c r="M385" s="122" t="s">
        <v>943</v>
      </c>
      <c r="N385" s="122" t="s">
        <v>943</v>
      </c>
      <c r="O385" s="125" t="s">
        <v>943</v>
      </c>
      <c r="P385" s="126">
        <v>27573659.800000004</v>
      </c>
      <c r="Q385" s="126">
        <f t="shared" ref="Q385:S385" si="92">SUM(Q386:Q392)</f>
        <v>0</v>
      </c>
      <c r="R385" s="126">
        <f t="shared" si="92"/>
        <v>0</v>
      </c>
      <c r="S385" s="126">
        <f t="shared" si="92"/>
        <v>27573659.800000004</v>
      </c>
      <c r="T385" s="126">
        <f t="shared" si="56"/>
        <v>1530.9769190194611</v>
      </c>
      <c r="U385" s="126">
        <f>MAX(U386:U392)</f>
        <v>6437.427662957075</v>
      </c>
    </row>
    <row r="386" spans="1:21" s="67" customFormat="1" ht="61.5" x14ac:dyDescent="0.9">
      <c r="A386" s="67">
        <v>1</v>
      </c>
      <c r="B386" s="118">
        <f>SUBTOTAL(103,$A$16:A386)</f>
        <v>340</v>
      </c>
      <c r="C386" s="115" t="s">
        <v>76</v>
      </c>
      <c r="D386" s="122">
        <v>1950</v>
      </c>
      <c r="E386" s="127"/>
      <c r="F386" s="127" t="s">
        <v>274</v>
      </c>
      <c r="G386" s="122">
        <v>3</v>
      </c>
      <c r="H386" s="122">
        <v>2</v>
      </c>
      <c r="I386" s="126">
        <v>871.6</v>
      </c>
      <c r="J386" s="126">
        <v>765</v>
      </c>
      <c r="K386" s="126">
        <v>743</v>
      </c>
      <c r="L386" s="124">
        <v>25</v>
      </c>
      <c r="M386" s="122" t="s">
        <v>272</v>
      </c>
      <c r="N386" s="122" t="s">
        <v>276</v>
      </c>
      <c r="O386" s="125" t="s">
        <v>284</v>
      </c>
      <c r="P386" s="126">
        <v>3455432.6599999997</v>
      </c>
      <c r="Q386" s="126">
        <v>0</v>
      </c>
      <c r="R386" s="126">
        <v>0</v>
      </c>
      <c r="S386" s="126">
        <f t="shared" ref="S386:S392" si="93">P386-Q386-R386</f>
        <v>3455432.6599999997</v>
      </c>
      <c r="T386" s="126">
        <f t="shared" si="56"/>
        <v>3964.4706975676913</v>
      </c>
      <c r="U386" s="126">
        <v>4839.21093391464</v>
      </c>
    </row>
    <row r="387" spans="1:21" s="67" customFormat="1" ht="61.5" x14ac:dyDescent="0.9">
      <c r="A387" s="67">
        <v>1</v>
      </c>
      <c r="B387" s="118">
        <f>SUBTOTAL(103,$A$16:A387)</f>
        <v>341</v>
      </c>
      <c r="C387" s="115" t="s">
        <v>75</v>
      </c>
      <c r="D387" s="122">
        <v>1963</v>
      </c>
      <c r="E387" s="127"/>
      <c r="F387" s="127" t="s">
        <v>274</v>
      </c>
      <c r="G387" s="122">
        <v>4</v>
      </c>
      <c r="H387" s="122">
        <v>2</v>
      </c>
      <c r="I387" s="126">
        <v>1600.4</v>
      </c>
      <c r="J387" s="126">
        <v>1222</v>
      </c>
      <c r="K387" s="126">
        <v>1222</v>
      </c>
      <c r="L387" s="124">
        <v>54</v>
      </c>
      <c r="M387" s="122" t="s">
        <v>272</v>
      </c>
      <c r="N387" s="122" t="s">
        <v>276</v>
      </c>
      <c r="O387" s="125" t="s">
        <v>285</v>
      </c>
      <c r="P387" s="126">
        <v>3046911.8499999996</v>
      </c>
      <c r="Q387" s="126">
        <v>0</v>
      </c>
      <c r="R387" s="126">
        <v>0</v>
      </c>
      <c r="S387" s="126">
        <f t="shared" si="93"/>
        <v>3046911.8499999996</v>
      </c>
      <c r="T387" s="126">
        <f t="shared" si="56"/>
        <v>1903.8439452636837</v>
      </c>
      <c r="U387" s="126">
        <v>2125.2682329417644</v>
      </c>
    </row>
    <row r="388" spans="1:21" s="67" customFormat="1" ht="61.5" x14ac:dyDescent="0.9">
      <c r="A388" s="67">
        <v>1</v>
      </c>
      <c r="B388" s="118">
        <f>SUBTOTAL(103,$A$16:A388)</f>
        <v>342</v>
      </c>
      <c r="C388" s="115" t="s">
        <v>77</v>
      </c>
      <c r="D388" s="122">
        <v>1948</v>
      </c>
      <c r="E388" s="127"/>
      <c r="F388" s="127" t="s">
        <v>274</v>
      </c>
      <c r="G388" s="122">
        <v>4</v>
      </c>
      <c r="H388" s="122">
        <v>3</v>
      </c>
      <c r="I388" s="126">
        <v>1954.5</v>
      </c>
      <c r="J388" s="126">
        <v>1574</v>
      </c>
      <c r="K388" s="126">
        <v>1540</v>
      </c>
      <c r="L388" s="124">
        <v>58</v>
      </c>
      <c r="M388" s="122" t="s">
        <v>272</v>
      </c>
      <c r="N388" s="122" t="s">
        <v>276</v>
      </c>
      <c r="O388" s="125" t="s">
        <v>286</v>
      </c>
      <c r="P388" s="126">
        <v>5379424.7399999993</v>
      </c>
      <c r="Q388" s="126">
        <v>0</v>
      </c>
      <c r="R388" s="126">
        <v>0</v>
      </c>
      <c r="S388" s="126">
        <f t="shared" si="93"/>
        <v>5379424.7399999993</v>
      </c>
      <c r="T388" s="126">
        <f t="shared" si="56"/>
        <v>2752.3278280890249</v>
      </c>
      <c r="U388" s="126">
        <v>3294.0065387567151</v>
      </c>
    </row>
    <row r="389" spans="1:21" s="67" customFormat="1" ht="61.5" x14ac:dyDescent="0.9">
      <c r="A389" s="67">
        <v>1</v>
      </c>
      <c r="B389" s="118">
        <f>SUBTOTAL(103,$A$16:A389)</f>
        <v>343</v>
      </c>
      <c r="C389" s="115" t="s">
        <v>1323</v>
      </c>
      <c r="D389" s="122">
        <v>1957</v>
      </c>
      <c r="E389" s="127"/>
      <c r="F389" s="127" t="s">
        <v>274</v>
      </c>
      <c r="G389" s="122">
        <v>4</v>
      </c>
      <c r="H389" s="122">
        <v>4</v>
      </c>
      <c r="I389" s="126">
        <v>5025</v>
      </c>
      <c r="J389" s="126">
        <v>3440</v>
      </c>
      <c r="K389" s="126">
        <v>3207</v>
      </c>
      <c r="L389" s="124">
        <v>113</v>
      </c>
      <c r="M389" s="122" t="s">
        <v>272</v>
      </c>
      <c r="N389" s="122" t="s">
        <v>276</v>
      </c>
      <c r="O389" s="125" t="s">
        <v>285</v>
      </c>
      <c r="P389" s="126">
        <v>3582068.9</v>
      </c>
      <c r="Q389" s="126">
        <v>0</v>
      </c>
      <c r="R389" s="126">
        <v>0</v>
      </c>
      <c r="S389" s="126">
        <f t="shared" si="93"/>
        <v>3582068.9</v>
      </c>
      <c r="T389" s="126">
        <f t="shared" si="56"/>
        <v>712.84953233830845</v>
      </c>
      <c r="U389" s="126">
        <v>3080.18</v>
      </c>
    </row>
    <row r="390" spans="1:21" s="67" customFormat="1" ht="61.5" x14ac:dyDescent="0.9">
      <c r="A390" s="67">
        <v>1</v>
      </c>
      <c r="B390" s="118">
        <f>SUBTOTAL(103,$A$16:A390)</f>
        <v>344</v>
      </c>
      <c r="C390" s="115" t="s">
        <v>1324</v>
      </c>
      <c r="D390" s="122">
        <v>1974</v>
      </c>
      <c r="E390" s="127"/>
      <c r="F390" s="127" t="s">
        <v>274</v>
      </c>
      <c r="G390" s="122">
        <v>5</v>
      </c>
      <c r="H390" s="122">
        <v>2</v>
      </c>
      <c r="I390" s="126">
        <v>4670</v>
      </c>
      <c r="J390" s="126">
        <v>3641</v>
      </c>
      <c r="K390" s="126">
        <v>2877</v>
      </c>
      <c r="L390" s="124">
        <v>192</v>
      </c>
      <c r="M390" s="122" t="s">
        <v>272</v>
      </c>
      <c r="N390" s="122" t="s">
        <v>276</v>
      </c>
      <c r="O390" s="125" t="s">
        <v>1436</v>
      </c>
      <c r="P390" s="126">
        <v>4162144.7199999997</v>
      </c>
      <c r="Q390" s="126">
        <v>0</v>
      </c>
      <c r="R390" s="126">
        <v>0</v>
      </c>
      <c r="S390" s="126">
        <f t="shared" si="93"/>
        <v>4162144.7199999997</v>
      </c>
      <c r="T390" s="126">
        <f t="shared" si="56"/>
        <v>891.25154603854389</v>
      </c>
      <c r="U390" s="126">
        <v>1495.6680835117772</v>
      </c>
    </row>
    <row r="391" spans="1:21" s="67" customFormat="1" ht="61.5" x14ac:dyDescent="0.9">
      <c r="A391" s="67">
        <v>1</v>
      </c>
      <c r="B391" s="118">
        <f>SUBTOTAL(103,$A$16:A391)</f>
        <v>345</v>
      </c>
      <c r="C391" s="115" t="s">
        <v>1325</v>
      </c>
      <c r="D391" s="122">
        <v>1940</v>
      </c>
      <c r="E391" s="127"/>
      <c r="F391" s="127" t="s">
        <v>274</v>
      </c>
      <c r="G391" s="122">
        <v>4</v>
      </c>
      <c r="H391" s="122">
        <v>3</v>
      </c>
      <c r="I391" s="126">
        <v>3260</v>
      </c>
      <c r="J391" s="126">
        <v>3206.1</v>
      </c>
      <c r="K391" s="126">
        <v>3206.1</v>
      </c>
      <c r="L391" s="124">
        <v>72</v>
      </c>
      <c r="M391" s="122" t="s">
        <v>272</v>
      </c>
      <c r="N391" s="122" t="s">
        <v>276</v>
      </c>
      <c r="O391" s="125" t="s">
        <v>284</v>
      </c>
      <c r="P391" s="126">
        <v>5553562.8300000001</v>
      </c>
      <c r="Q391" s="126">
        <v>0</v>
      </c>
      <c r="R391" s="126">
        <v>0</v>
      </c>
      <c r="S391" s="126">
        <f t="shared" si="93"/>
        <v>5553562.8300000001</v>
      </c>
      <c r="T391" s="126">
        <f t="shared" si="56"/>
        <v>1703.5468803680981</v>
      </c>
      <c r="U391" s="126">
        <v>2398.5784054907976</v>
      </c>
    </row>
    <row r="392" spans="1:21" s="67" customFormat="1" ht="61.5" x14ac:dyDescent="0.9">
      <c r="A392" s="67">
        <v>1</v>
      </c>
      <c r="B392" s="118">
        <f>SUBTOTAL(103,$A$16:A392)</f>
        <v>346</v>
      </c>
      <c r="C392" s="115" t="s">
        <v>1326</v>
      </c>
      <c r="D392" s="122">
        <v>1955</v>
      </c>
      <c r="E392" s="127"/>
      <c r="F392" s="127" t="s">
        <v>274</v>
      </c>
      <c r="G392" s="122">
        <v>2</v>
      </c>
      <c r="H392" s="122">
        <v>2</v>
      </c>
      <c r="I392" s="126">
        <v>629</v>
      </c>
      <c r="J392" s="126">
        <v>452</v>
      </c>
      <c r="K392" s="126">
        <v>452</v>
      </c>
      <c r="L392" s="124">
        <v>31</v>
      </c>
      <c r="M392" s="122" t="s">
        <v>272</v>
      </c>
      <c r="N392" s="122" t="s">
        <v>276</v>
      </c>
      <c r="O392" s="125" t="s">
        <v>1403</v>
      </c>
      <c r="P392" s="126">
        <v>2394114.0999999996</v>
      </c>
      <c r="Q392" s="126">
        <v>0</v>
      </c>
      <c r="R392" s="126">
        <v>0</v>
      </c>
      <c r="S392" s="126">
        <f t="shared" si="93"/>
        <v>2394114.0999999996</v>
      </c>
      <c r="T392" s="126">
        <f t="shared" si="56"/>
        <v>3806.2227344992043</v>
      </c>
      <c r="U392" s="126">
        <v>6437.427662957075</v>
      </c>
    </row>
    <row r="393" spans="1:21" s="67" customFormat="1" ht="61.5" x14ac:dyDescent="0.9">
      <c r="B393" s="115" t="s">
        <v>891</v>
      </c>
      <c r="C393" s="115"/>
      <c r="D393" s="122" t="s">
        <v>943</v>
      </c>
      <c r="E393" s="122" t="s">
        <v>943</v>
      </c>
      <c r="F393" s="122" t="s">
        <v>943</v>
      </c>
      <c r="G393" s="122" t="s">
        <v>943</v>
      </c>
      <c r="H393" s="122" t="s">
        <v>943</v>
      </c>
      <c r="I393" s="123">
        <f>I394</f>
        <v>613</v>
      </c>
      <c r="J393" s="123">
        <f t="shared" ref="J393:L393" si="94">J394</f>
        <v>613</v>
      </c>
      <c r="K393" s="123">
        <f t="shared" si="94"/>
        <v>571.70000000000005</v>
      </c>
      <c r="L393" s="124">
        <f t="shared" si="94"/>
        <v>33</v>
      </c>
      <c r="M393" s="122" t="s">
        <v>943</v>
      </c>
      <c r="N393" s="122" t="s">
        <v>943</v>
      </c>
      <c r="O393" s="125" t="s">
        <v>943</v>
      </c>
      <c r="P393" s="126">
        <v>3075675.26</v>
      </c>
      <c r="Q393" s="126">
        <f t="shared" ref="Q393:S393" si="95">Q394</f>
        <v>0</v>
      </c>
      <c r="R393" s="126">
        <f t="shared" si="95"/>
        <v>0</v>
      </c>
      <c r="S393" s="126">
        <f t="shared" si="95"/>
        <v>3075675.26</v>
      </c>
      <c r="T393" s="126">
        <f t="shared" si="56"/>
        <v>5017.414779771615</v>
      </c>
      <c r="U393" s="126">
        <f>MAX(U394)</f>
        <v>6583.4337030995102</v>
      </c>
    </row>
    <row r="394" spans="1:21" s="67" customFormat="1" ht="61.5" x14ac:dyDescent="0.9">
      <c r="A394" s="67">
        <v>1</v>
      </c>
      <c r="B394" s="118">
        <f>SUBTOTAL(103,$A$16:A394)</f>
        <v>347</v>
      </c>
      <c r="C394" s="115" t="s">
        <v>78</v>
      </c>
      <c r="D394" s="122">
        <v>1966</v>
      </c>
      <c r="E394" s="127"/>
      <c r="F394" s="127" t="s">
        <v>274</v>
      </c>
      <c r="G394" s="122">
        <v>2</v>
      </c>
      <c r="H394" s="122">
        <v>2</v>
      </c>
      <c r="I394" s="126">
        <v>613</v>
      </c>
      <c r="J394" s="126">
        <v>613</v>
      </c>
      <c r="K394" s="126">
        <v>571.70000000000005</v>
      </c>
      <c r="L394" s="124">
        <v>33</v>
      </c>
      <c r="M394" s="122" t="s">
        <v>272</v>
      </c>
      <c r="N394" s="122" t="s">
        <v>273</v>
      </c>
      <c r="O394" s="125" t="s">
        <v>275</v>
      </c>
      <c r="P394" s="126">
        <v>3075675.26</v>
      </c>
      <c r="Q394" s="126">
        <v>0</v>
      </c>
      <c r="R394" s="126">
        <v>0</v>
      </c>
      <c r="S394" s="126">
        <f>P394-Q394-R394</f>
        <v>3075675.26</v>
      </c>
      <c r="T394" s="126">
        <f t="shared" si="56"/>
        <v>5017.414779771615</v>
      </c>
      <c r="U394" s="126">
        <v>6583.4337030995102</v>
      </c>
    </row>
    <row r="395" spans="1:21" s="67" customFormat="1" ht="61.5" x14ac:dyDescent="0.9">
      <c r="B395" s="115" t="s">
        <v>924</v>
      </c>
      <c r="C395" s="115"/>
      <c r="D395" s="122" t="s">
        <v>943</v>
      </c>
      <c r="E395" s="122" t="s">
        <v>943</v>
      </c>
      <c r="F395" s="122" t="s">
        <v>943</v>
      </c>
      <c r="G395" s="122" t="s">
        <v>943</v>
      </c>
      <c r="H395" s="122" t="s">
        <v>943</v>
      </c>
      <c r="I395" s="123">
        <f>I396</f>
        <v>320</v>
      </c>
      <c r="J395" s="123">
        <f t="shared" ref="J395:L395" si="96">J396</f>
        <v>311</v>
      </c>
      <c r="K395" s="123">
        <f t="shared" si="96"/>
        <v>311</v>
      </c>
      <c r="L395" s="124">
        <f t="shared" si="96"/>
        <v>21</v>
      </c>
      <c r="M395" s="122" t="s">
        <v>943</v>
      </c>
      <c r="N395" s="122" t="s">
        <v>943</v>
      </c>
      <c r="O395" s="125" t="s">
        <v>943</v>
      </c>
      <c r="P395" s="126">
        <v>522383.64</v>
      </c>
      <c r="Q395" s="126">
        <f t="shared" ref="Q395:S395" si="97">Q396</f>
        <v>0</v>
      </c>
      <c r="R395" s="126">
        <f t="shared" si="97"/>
        <v>0</v>
      </c>
      <c r="S395" s="126">
        <f t="shared" si="97"/>
        <v>522383.64</v>
      </c>
      <c r="T395" s="126">
        <f t="shared" si="56"/>
        <v>1632.448875</v>
      </c>
      <c r="U395" s="126">
        <f>MAX(U396)</f>
        <v>1632.448875</v>
      </c>
    </row>
    <row r="396" spans="1:21" s="67" customFormat="1" ht="61.5" x14ac:dyDescent="0.9">
      <c r="A396" s="67">
        <v>1</v>
      </c>
      <c r="B396" s="118">
        <f>SUBTOTAL(103,$A$16:A396)</f>
        <v>348</v>
      </c>
      <c r="C396" s="115" t="s">
        <v>1327</v>
      </c>
      <c r="D396" s="122">
        <v>1962</v>
      </c>
      <c r="E396" s="127"/>
      <c r="F396" s="127" t="s">
        <v>274</v>
      </c>
      <c r="G396" s="122">
        <v>2</v>
      </c>
      <c r="H396" s="122">
        <v>1</v>
      </c>
      <c r="I396" s="126">
        <v>320</v>
      </c>
      <c r="J396" s="126">
        <v>311</v>
      </c>
      <c r="K396" s="126">
        <v>311</v>
      </c>
      <c r="L396" s="124">
        <v>21</v>
      </c>
      <c r="M396" s="122" t="s">
        <v>272</v>
      </c>
      <c r="N396" s="122" t="s">
        <v>276</v>
      </c>
      <c r="O396" s="125" t="s">
        <v>1404</v>
      </c>
      <c r="P396" s="126">
        <v>522383.64</v>
      </c>
      <c r="Q396" s="126">
        <v>0</v>
      </c>
      <c r="R396" s="126">
        <v>0</v>
      </c>
      <c r="S396" s="126">
        <f>P396-Q396-R396</f>
        <v>522383.64</v>
      </c>
      <c r="T396" s="126">
        <f t="shared" si="56"/>
        <v>1632.448875</v>
      </c>
      <c r="U396" s="126">
        <v>1632.448875</v>
      </c>
    </row>
    <row r="397" spans="1:21" s="67" customFormat="1" ht="61.5" x14ac:dyDescent="0.9">
      <c r="B397" s="115" t="s">
        <v>892</v>
      </c>
      <c r="C397" s="119"/>
      <c r="D397" s="122" t="s">
        <v>943</v>
      </c>
      <c r="E397" s="122" t="s">
        <v>943</v>
      </c>
      <c r="F397" s="122" t="s">
        <v>943</v>
      </c>
      <c r="G397" s="122" t="s">
        <v>943</v>
      </c>
      <c r="H397" s="122" t="s">
        <v>943</v>
      </c>
      <c r="I397" s="123">
        <f>SUM(I398:I402)</f>
        <v>6463.98</v>
      </c>
      <c r="J397" s="123">
        <f t="shared" ref="J397:L397" si="98">SUM(J398:J402)</f>
        <v>5846.45</v>
      </c>
      <c r="K397" s="123">
        <f t="shared" si="98"/>
        <v>5322.1500000000005</v>
      </c>
      <c r="L397" s="124">
        <f t="shared" si="98"/>
        <v>243</v>
      </c>
      <c r="M397" s="122" t="s">
        <v>943</v>
      </c>
      <c r="N397" s="122" t="s">
        <v>943</v>
      </c>
      <c r="O397" s="125" t="s">
        <v>943</v>
      </c>
      <c r="P397" s="126">
        <v>18085413.109999999</v>
      </c>
      <c r="Q397" s="126">
        <f t="shared" ref="Q397:S397" si="99">SUM(Q398:Q402)</f>
        <v>0</v>
      </c>
      <c r="R397" s="126">
        <f t="shared" si="99"/>
        <v>0</v>
      </c>
      <c r="S397" s="126">
        <f t="shared" si="99"/>
        <v>18085413.109999999</v>
      </c>
      <c r="T397" s="126">
        <f t="shared" si="56"/>
        <v>2797.8757839597279</v>
      </c>
      <c r="U397" s="126">
        <f>MAX(U398:U402)</f>
        <v>6274.6410924132733</v>
      </c>
    </row>
    <row r="398" spans="1:21" s="67" customFormat="1" ht="61.5" x14ac:dyDescent="0.9">
      <c r="A398" s="67">
        <v>1</v>
      </c>
      <c r="B398" s="118">
        <f>SUBTOTAL(103,$A$16:A398)</f>
        <v>349</v>
      </c>
      <c r="C398" s="115" t="s">
        <v>109</v>
      </c>
      <c r="D398" s="122">
        <v>1961</v>
      </c>
      <c r="E398" s="127"/>
      <c r="F398" s="127" t="s">
        <v>274</v>
      </c>
      <c r="G398" s="122">
        <v>3</v>
      </c>
      <c r="H398" s="122">
        <v>2</v>
      </c>
      <c r="I398" s="126">
        <v>1048.3800000000001</v>
      </c>
      <c r="J398" s="126">
        <v>975.35</v>
      </c>
      <c r="K398" s="126">
        <v>930.75</v>
      </c>
      <c r="L398" s="124">
        <v>50</v>
      </c>
      <c r="M398" s="122" t="s">
        <v>272</v>
      </c>
      <c r="N398" s="122" t="s">
        <v>276</v>
      </c>
      <c r="O398" s="125" t="s">
        <v>1163</v>
      </c>
      <c r="P398" s="126">
        <v>2621954.34</v>
      </c>
      <c r="Q398" s="126">
        <v>0</v>
      </c>
      <c r="R398" s="126">
        <v>0</v>
      </c>
      <c r="S398" s="126">
        <f t="shared" ref="S398:S402" si="100">P398-Q398-R398</f>
        <v>2621954.34</v>
      </c>
      <c r="T398" s="126">
        <f t="shared" ref="T398:T461" si="101">P398/I398</f>
        <v>2500.9579923310248</v>
      </c>
      <c r="U398" s="126">
        <v>3839.1109597664959</v>
      </c>
    </row>
    <row r="399" spans="1:21" s="67" customFormat="1" ht="61.5" x14ac:dyDescent="0.9">
      <c r="A399" s="67">
        <v>1</v>
      </c>
      <c r="B399" s="118">
        <f>SUBTOTAL(103,$A$16:A399)</f>
        <v>350</v>
      </c>
      <c r="C399" s="115" t="s">
        <v>111</v>
      </c>
      <c r="D399" s="122">
        <v>1977</v>
      </c>
      <c r="E399" s="127"/>
      <c r="F399" s="127" t="s">
        <v>274</v>
      </c>
      <c r="G399" s="122">
        <v>2</v>
      </c>
      <c r="H399" s="122">
        <v>3</v>
      </c>
      <c r="I399" s="126">
        <v>1063.7</v>
      </c>
      <c r="J399" s="126">
        <v>983.3</v>
      </c>
      <c r="K399" s="126">
        <v>887.9</v>
      </c>
      <c r="L399" s="124">
        <v>32</v>
      </c>
      <c r="M399" s="122" t="s">
        <v>272</v>
      </c>
      <c r="N399" s="122" t="s">
        <v>273</v>
      </c>
      <c r="O399" s="125" t="s">
        <v>275</v>
      </c>
      <c r="P399" s="126">
        <v>5164360.1999999993</v>
      </c>
      <c r="Q399" s="126">
        <v>0</v>
      </c>
      <c r="R399" s="126">
        <v>0</v>
      </c>
      <c r="S399" s="126">
        <f t="shared" si="100"/>
        <v>5164360.1999999993</v>
      </c>
      <c r="T399" s="126">
        <f t="shared" si="101"/>
        <v>4855.0909090909081</v>
      </c>
      <c r="U399" s="126">
        <v>6274.6410924132733</v>
      </c>
    </row>
    <row r="400" spans="1:21" s="67" customFormat="1" ht="61.5" x14ac:dyDescent="0.9">
      <c r="A400" s="67">
        <v>1</v>
      </c>
      <c r="B400" s="118">
        <f>SUBTOTAL(103,$A$16:A400)</f>
        <v>351</v>
      </c>
      <c r="C400" s="115" t="s">
        <v>1328</v>
      </c>
      <c r="D400" s="122">
        <v>1934</v>
      </c>
      <c r="E400" s="127"/>
      <c r="F400" s="127" t="s">
        <v>274</v>
      </c>
      <c r="G400" s="122">
        <v>2</v>
      </c>
      <c r="H400" s="122">
        <v>3</v>
      </c>
      <c r="I400" s="126">
        <v>987.5</v>
      </c>
      <c r="J400" s="126">
        <v>874</v>
      </c>
      <c r="K400" s="126">
        <v>837.7</v>
      </c>
      <c r="L400" s="124">
        <v>26</v>
      </c>
      <c r="M400" s="122" t="s">
        <v>272</v>
      </c>
      <c r="N400" s="122" t="s">
        <v>273</v>
      </c>
      <c r="O400" s="125" t="s">
        <v>275</v>
      </c>
      <c r="P400" s="126">
        <v>3913623.54</v>
      </c>
      <c r="Q400" s="126">
        <v>0</v>
      </c>
      <c r="R400" s="126">
        <v>0</v>
      </c>
      <c r="S400" s="126">
        <f t="shared" si="100"/>
        <v>3913623.54</v>
      </c>
      <c r="T400" s="126">
        <f t="shared" si="101"/>
        <v>3963.1630784810127</v>
      </c>
      <c r="U400" s="126">
        <v>5986.5795645569615</v>
      </c>
    </row>
    <row r="401" spans="1:21" s="67" customFormat="1" ht="61.5" x14ac:dyDescent="0.9">
      <c r="A401" s="67">
        <v>1</v>
      </c>
      <c r="B401" s="118">
        <f>SUBTOTAL(103,$A$16:A401)</f>
        <v>352</v>
      </c>
      <c r="C401" s="115" t="s">
        <v>1329</v>
      </c>
      <c r="D401" s="122">
        <v>1985</v>
      </c>
      <c r="E401" s="127"/>
      <c r="F401" s="127" t="s">
        <v>274</v>
      </c>
      <c r="G401" s="122">
        <v>5</v>
      </c>
      <c r="H401" s="122">
        <v>4</v>
      </c>
      <c r="I401" s="126">
        <v>2915</v>
      </c>
      <c r="J401" s="126">
        <v>2619.4</v>
      </c>
      <c r="K401" s="126">
        <v>2310.6</v>
      </c>
      <c r="L401" s="124">
        <v>117</v>
      </c>
      <c r="M401" s="122" t="s">
        <v>272</v>
      </c>
      <c r="N401" s="122" t="s">
        <v>276</v>
      </c>
      <c r="O401" s="125" t="s">
        <v>1443</v>
      </c>
      <c r="P401" s="126">
        <v>5202022.3899999997</v>
      </c>
      <c r="Q401" s="126">
        <v>0</v>
      </c>
      <c r="R401" s="126">
        <v>0</v>
      </c>
      <c r="S401" s="126">
        <f t="shared" si="100"/>
        <v>5202022.3899999997</v>
      </c>
      <c r="T401" s="126">
        <f t="shared" si="101"/>
        <v>1784.5702881646655</v>
      </c>
      <c r="U401" s="126">
        <v>1784.5702881646655</v>
      </c>
    </row>
    <row r="402" spans="1:21" s="67" customFormat="1" ht="61.5" x14ac:dyDescent="0.9">
      <c r="A402" s="67">
        <v>1</v>
      </c>
      <c r="B402" s="118">
        <f>SUBTOTAL(103,$A$16:A402)</f>
        <v>353</v>
      </c>
      <c r="C402" s="115" t="s">
        <v>1330</v>
      </c>
      <c r="D402" s="122">
        <v>1962</v>
      </c>
      <c r="E402" s="127"/>
      <c r="F402" s="127" t="s">
        <v>340</v>
      </c>
      <c r="G402" s="122">
        <v>2</v>
      </c>
      <c r="H402" s="122">
        <v>1</v>
      </c>
      <c r="I402" s="126">
        <v>449.4</v>
      </c>
      <c r="J402" s="126">
        <v>394.4</v>
      </c>
      <c r="K402" s="126">
        <v>355.2</v>
      </c>
      <c r="L402" s="124">
        <v>18</v>
      </c>
      <c r="M402" s="122" t="s">
        <v>272</v>
      </c>
      <c r="N402" s="122" t="s">
        <v>273</v>
      </c>
      <c r="O402" s="125" t="s">
        <v>275</v>
      </c>
      <c r="P402" s="126">
        <v>1183452.6399999999</v>
      </c>
      <c r="Q402" s="126">
        <v>0</v>
      </c>
      <c r="R402" s="126">
        <v>0</v>
      </c>
      <c r="S402" s="126">
        <f t="shared" si="100"/>
        <v>1183452.6399999999</v>
      </c>
      <c r="T402" s="126">
        <f t="shared" si="101"/>
        <v>2633.4059635068979</v>
      </c>
      <c r="U402" s="126">
        <v>5030.6429684023142</v>
      </c>
    </row>
    <row r="403" spans="1:21" s="67" customFormat="1" ht="61.5" x14ac:dyDescent="0.9">
      <c r="B403" s="115" t="s">
        <v>893</v>
      </c>
      <c r="C403" s="119"/>
      <c r="D403" s="122" t="s">
        <v>943</v>
      </c>
      <c r="E403" s="122" t="s">
        <v>943</v>
      </c>
      <c r="F403" s="122" t="s">
        <v>943</v>
      </c>
      <c r="G403" s="122" t="s">
        <v>943</v>
      </c>
      <c r="H403" s="122" t="s">
        <v>943</v>
      </c>
      <c r="I403" s="123">
        <f>I404</f>
        <v>2767.4</v>
      </c>
      <c r="J403" s="123">
        <f t="shared" ref="J403:L403" si="102">J404</f>
        <v>2688.6</v>
      </c>
      <c r="K403" s="123">
        <f t="shared" si="102"/>
        <v>1642.8</v>
      </c>
      <c r="L403" s="124">
        <f t="shared" si="102"/>
        <v>148</v>
      </c>
      <c r="M403" s="122" t="s">
        <v>943</v>
      </c>
      <c r="N403" s="122" t="s">
        <v>943</v>
      </c>
      <c r="O403" s="125" t="s">
        <v>943</v>
      </c>
      <c r="P403" s="126">
        <v>5141890.2</v>
      </c>
      <c r="Q403" s="126">
        <f t="shared" ref="Q403:S403" si="103">Q404</f>
        <v>0</v>
      </c>
      <c r="R403" s="126">
        <f t="shared" si="103"/>
        <v>3768516.65</v>
      </c>
      <c r="S403" s="126">
        <f t="shared" si="103"/>
        <v>1373373.5500000003</v>
      </c>
      <c r="T403" s="126">
        <f t="shared" si="101"/>
        <v>1858.0220423502203</v>
      </c>
      <c r="U403" s="126">
        <f>MAX(U404)</f>
        <v>2706.841331213413</v>
      </c>
    </row>
    <row r="404" spans="1:21" s="67" customFormat="1" ht="61.5" x14ac:dyDescent="0.9">
      <c r="A404" s="67">
        <v>1</v>
      </c>
      <c r="B404" s="118">
        <f>SUBTOTAL(103,$A$16:A404)</f>
        <v>354</v>
      </c>
      <c r="C404" s="115" t="s">
        <v>40</v>
      </c>
      <c r="D404" s="122">
        <v>1979</v>
      </c>
      <c r="E404" s="127"/>
      <c r="F404" s="127" t="s">
        <v>274</v>
      </c>
      <c r="G404" s="122">
        <v>5</v>
      </c>
      <c r="H404" s="122">
        <v>4</v>
      </c>
      <c r="I404" s="126">
        <v>2767.4</v>
      </c>
      <c r="J404" s="126">
        <v>2688.6</v>
      </c>
      <c r="K404" s="126">
        <v>1642.8</v>
      </c>
      <c r="L404" s="124">
        <v>148</v>
      </c>
      <c r="M404" s="122" t="s">
        <v>272</v>
      </c>
      <c r="N404" s="122" t="s">
        <v>273</v>
      </c>
      <c r="O404" s="125" t="s">
        <v>275</v>
      </c>
      <c r="P404" s="126">
        <v>5141890.2</v>
      </c>
      <c r="Q404" s="126">
        <v>0</v>
      </c>
      <c r="R404" s="126">
        <v>3768516.65</v>
      </c>
      <c r="S404" s="126">
        <f>P404-Q404-R404</f>
        <v>1373373.5500000003</v>
      </c>
      <c r="T404" s="126">
        <f t="shared" si="101"/>
        <v>1858.0220423502203</v>
      </c>
      <c r="U404" s="126">
        <v>2706.841331213413</v>
      </c>
    </row>
    <row r="405" spans="1:21" s="67" customFormat="1" ht="61.5" x14ac:dyDescent="0.9">
      <c r="B405" s="115" t="s">
        <v>894</v>
      </c>
      <c r="C405" s="115"/>
      <c r="D405" s="122" t="s">
        <v>943</v>
      </c>
      <c r="E405" s="122" t="s">
        <v>943</v>
      </c>
      <c r="F405" s="122" t="s">
        <v>943</v>
      </c>
      <c r="G405" s="122" t="s">
        <v>943</v>
      </c>
      <c r="H405" s="122" t="s">
        <v>943</v>
      </c>
      <c r="I405" s="123">
        <f>I406+I407</f>
        <v>8635.3499999999985</v>
      </c>
      <c r="J405" s="123">
        <f t="shared" ref="J405:L405" si="104">J406+J407</f>
        <v>6679.4</v>
      </c>
      <c r="K405" s="123">
        <f t="shared" si="104"/>
        <v>4381.04</v>
      </c>
      <c r="L405" s="124">
        <f t="shared" si="104"/>
        <v>331</v>
      </c>
      <c r="M405" s="122" t="s">
        <v>943</v>
      </c>
      <c r="N405" s="122" t="s">
        <v>943</v>
      </c>
      <c r="O405" s="125" t="s">
        <v>943</v>
      </c>
      <c r="P405" s="126">
        <v>10283645.739999998</v>
      </c>
      <c r="Q405" s="126">
        <f t="shared" ref="Q405:S405" si="105">Q406+Q407</f>
        <v>0</v>
      </c>
      <c r="R405" s="126">
        <f t="shared" si="105"/>
        <v>0</v>
      </c>
      <c r="S405" s="126">
        <f t="shared" si="105"/>
        <v>10283645.739999998</v>
      </c>
      <c r="T405" s="126">
        <f t="shared" si="101"/>
        <v>1190.8776992246985</v>
      </c>
      <c r="U405" s="126">
        <f>MAX(U406:U407)</f>
        <v>3255.85</v>
      </c>
    </row>
    <row r="406" spans="1:21" s="67" customFormat="1" ht="61.5" x14ac:dyDescent="0.9">
      <c r="A406" s="67">
        <v>1</v>
      </c>
      <c r="B406" s="118">
        <f>SUBTOTAL(103,$A$16:A406)</f>
        <v>355</v>
      </c>
      <c r="C406" s="115" t="s">
        <v>64</v>
      </c>
      <c r="D406" s="122">
        <v>1976</v>
      </c>
      <c r="E406" s="127"/>
      <c r="F406" s="127" t="s">
        <v>274</v>
      </c>
      <c r="G406" s="122">
        <v>5</v>
      </c>
      <c r="H406" s="122">
        <v>6</v>
      </c>
      <c r="I406" s="126">
        <v>4783.1499999999996</v>
      </c>
      <c r="J406" s="126">
        <v>4417.7</v>
      </c>
      <c r="K406" s="126">
        <v>3106.56</v>
      </c>
      <c r="L406" s="124">
        <v>188</v>
      </c>
      <c r="M406" s="122" t="s">
        <v>272</v>
      </c>
      <c r="N406" s="122" t="s">
        <v>276</v>
      </c>
      <c r="O406" s="125" t="s">
        <v>277</v>
      </c>
      <c r="P406" s="126">
        <v>6494255.6099999994</v>
      </c>
      <c r="Q406" s="126">
        <v>0</v>
      </c>
      <c r="R406" s="126">
        <v>0</v>
      </c>
      <c r="S406" s="126">
        <f t="shared" ref="S406:S407" si="106">P406-Q406-R406</f>
        <v>6494255.6099999994</v>
      </c>
      <c r="T406" s="126">
        <f t="shared" si="101"/>
        <v>1357.7361383188902</v>
      </c>
      <c r="U406" s="126">
        <v>2003.4850255584711</v>
      </c>
    </row>
    <row r="407" spans="1:21" s="67" customFormat="1" ht="61.5" x14ac:dyDescent="0.9">
      <c r="A407" s="67">
        <v>1</v>
      </c>
      <c r="B407" s="118">
        <f>SUBTOTAL(103,$A$16:A407)</f>
        <v>356</v>
      </c>
      <c r="C407" s="115" t="s">
        <v>1343</v>
      </c>
      <c r="D407" s="122">
        <v>1969</v>
      </c>
      <c r="E407" s="127"/>
      <c r="F407" s="127" t="s">
        <v>274</v>
      </c>
      <c r="G407" s="122">
        <v>5</v>
      </c>
      <c r="H407" s="122">
        <v>6</v>
      </c>
      <c r="I407" s="126">
        <v>3852.2</v>
      </c>
      <c r="J407" s="126">
        <v>2261.6999999999998</v>
      </c>
      <c r="K407" s="126">
        <v>1274.48</v>
      </c>
      <c r="L407" s="124">
        <v>143</v>
      </c>
      <c r="M407" s="122" t="s">
        <v>272</v>
      </c>
      <c r="N407" s="122" t="s">
        <v>276</v>
      </c>
      <c r="O407" s="125" t="s">
        <v>1400</v>
      </c>
      <c r="P407" s="126">
        <v>3789390.1299999994</v>
      </c>
      <c r="Q407" s="126">
        <v>0</v>
      </c>
      <c r="R407" s="126">
        <v>0</v>
      </c>
      <c r="S407" s="126">
        <f t="shared" si="106"/>
        <v>3789390.1299999994</v>
      </c>
      <c r="T407" s="126">
        <f t="shared" si="101"/>
        <v>983.69506515757223</v>
      </c>
      <c r="U407" s="126">
        <v>3255.85</v>
      </c>
    </row>
    <row r="408" spans="1:21" s="67" customFormat="1" ht="61.5" x14ac:dyDescent="0.9">
      <c r="B408" s="115" t="s">
        <v>895</v>
      </c>
      <c r="C408" s="115"/>
      <c r="D408" s="122" t="s">
        <v>943</v>
      </c>
      <c r="E408" s="122" t="s">
        <v>943</v>
      </c>
      <c r="F408" s="122" t="s">
        <v>943</v>
      </c>
      <c r="G408" s="122" t="s">
        <v>943</v>
      </c>
      <c r="H408" s="122" t="s">
        <v>943</v>
      </c>
      <c r="I408" s="123">
        <f>SUM(I409:I416)</f>
        <v>21899.05</v>
      </c>
      <c r="J408" s="123">
        <f t="shared" ref="J408:L408" si="107">SUM(J409:J416)</f>
        <v>17164.129999999997</v>
      </c>
      <c r="K408" s="123">
        <f t="shared" si="107"/>
        <v>15500.730000000001</v>
      </c>
      <c r="L408" s="124">
        <f t="shared" si="107"/>
        <v>1008</v>
      </c>
      <c r="M408" s="122" t="s">
        <v>943</v>
      </c>
      <c r="N408" s="122" t="s">
        <v>943</v>
      </c>
      <c r="O408" s="125" t="s">
        <v>943</v>
      </c>
      <c r="P408" s="126">
        <v>38102188.490000002</v>
      </c>
      <c r="Q408" s="126">
        <f t="shared" ref="Q408:S408" si="108">SUM(Q409:Q416)</f>
        <v>0</v>
      </c>
      <c r="R408" s="126">
        <f t="shared" si="108"/>
        <v>0</v>
      </c>
      <c r="S408" s="126">
        <f t="shared" si="108"/>
        <v>38102188.490000002</v>
      </c>
      <c r="T408" s="126">
        <f t="shared" si="101"/>
        <v>1739.9014336238331</v>
      </c>
      <c r="U408" s="126">
        <f>MAX(U409:U416)</f>
        <v>6718.6943826856868</v>
      </c>
    </row>
    <row r="409" spans="1:21" s="67" customFormat="1" ht="61.5" x14ac:dyDescent="0.9">
      <c r="A409" s="67">
        <v>1</v>
      </c>
      <c r="B409" s="118">
        <f>SUBTOTAL(103,$A$16:A409)</f>
        <v>357</v>
      </c>
      <c r="C409" s="115" t="s">
        <v>47</v>
      </c>
      <c r="D409" s="122">
        <v>1964</v>
      </c>
      <c r="E409" s="127"/>
      <c r="F409" s="127" t="s">
        <v>274</v>
      </c>
      <c r="G409" s="122">
        <v>3</v>
      </c>
      <c r="H409" s="122">
        <v>2</v>
      </c>
      <c r="I409" s="126">
        <v>961.6</v>
      </c>
      <c r="J409" s="126">
        <v>723.4</v>
      </c>
      <c r="K409" s="126">
        <v>723.4</v>
      </c>
      <c r="L409" s="124">
        <v>26</v>
      </c>
      <c r="M409" s="122" t="s">
        <v>272</v>
      </c>
      <c r="N409" s="122" t="s">
        <v>276</v>
      </c>
      <c r="O409" s="125" t="s">
        <v>278</v>
      </c>
      <c r="P409" s="126">
        <v>3272502.06</v>
      </c>
      <c r="Q409" s="126">
        <v>0</v>
      </c>
      <c r="R409" s="126">
        <v>0</v>
      </c>
      <c r="S409" s="126">
        <f t="shared" ref="S409:S416" si="109">P409-Q409-R409</f>
        <v>3272502.06</v>
      </c>
      <c r="T409" s="126">
        <f t="shared" si="101"/>
        <v>3403.1843386023293</v>
      </c>
      <c r="U409" s="126">
        <v>4398.2204856489188</v>
      </c>
    </row>
    <row r="410" spans="1:21" s="67" customFormat="1" ht="61.5" x14ac:dyDescent="0.9">
      <c r="A410" s="67">
        <v>1</v>
      </c>
      <c r="B410" s="118">
        <f>SUBTOTAL(103,$A$16:A410)</f>
        <v>358</v>
      </c>
      <c r="C410" s="115" t="s">
        <v>48</v>
      </c>
      <c r="D410" s="122">
        <v>1963</v>
      </c>
      <c r="E410" s="127"/>
      <c r="F410" s="127" t="s">
        <v>274</v>
      </c>
      <c r="G410" s="122">
        <v>2</v>
      </c>
      <c r="H410" s="122">
        <v>2</v>
      </c>
      <c r="I410" s="126">
        <v>711.55</v>
      </c>
      <c r="J410" s="126">
        <v>664.1</v>
      </c>
      <c r="K410" s="126">
        <v>664.1</v>
      </c>
      <c r="L410" s="124">
        <v>22</v>
      </c>
      <c r="M410" s="122" t="s">
        <v>272</v>
      </c>
      <c r="N410" s="122" t="s">
        <v>276</v>
      </c>
      <c r="O410" s="125" t="s">
        <v>279</v>
      </c>
      <c r="P410" s="126">
        <v>3699123.12</v>
      </c>
      <c r="Q410" s="126">
        <v>0</v>
      </c>
      <c r="R410" s="126">
        <v>0</v>
      </c>
      <c r="S410" s="126">
        <f t="shared" si="109"/>
        <v>3699123.12</v>
      </c>
      <c r="T410" s="126">
        <f t="shared" si="101"/>
        <v>5198.6833251352682</v>
      </c>
      <c r="U410" s="126">
        <v>6718.6943826856868</v>
      </c>
    </row>
    <row r="411" spans="1:21" s="67" customFormat="1" ht="61.5" x14ac:dyDescent="0.9">
      <c r="A411" s="67">
        <v>1</v>
      </c>
      <c r="B411" s="118">
        <f>SUBTOTAL(103,$A$16:A411)</f>
        <v>359</v>
      </c>
      <c r="C411" s="115" t="s">
        <v>847</v>
      </c>
      <c r="D411" s="122">
        <v>1989</v>
      </c>
      <c r="E411" s="127"/>
      <c r="F411" s="127" t="s">
        <v>274</v>
      </c>
      <c r="G411" s="122">
        <v>4</v>
      </c>
      <c r="H411" s="122">
        <v>1</v>
      </c>
      <c r="I411" s="126">
        <v>1871.3</v>
      </c>
      <c r="J411" s="126">
        <v>779.1</v>
      </c>
      <c r="K411" s="126">
        <v>779.1</v>
      </c>
      <c r="L411" s="124">
        <v>88</v>
      </c>
      <c r="M411" s="122" t="s">
        <v>272</v>
      </c>
      <c r="N411" s="122" t="s">
        <v>273</v>
      </c>
      <c r="O411" s="125" t="s">
        <v>275</v>
      </c>
      <c r="P411" s="126">
        <v>3257538.05</v>
      </c>
      <c r="Q411" s="126">
        <v>0</v>
      </c>
      <c r="R411" s="126">
        <v>0</v>
      </c>
      <c r="S411" s="126">
        <f t="shared" si="109"/>
        <v>3257538.05</v>
      </c>
      <c r="T411" s="126">
        <f t="shared" si="101"/>
        <v>1740.7887831988457</v>
      </c>
      <c r="U411" s="126">
        <v>2322.4918933361837</v>
      </c>
    </row>
    <row r="412" spans="1:21" s="67" customFormat="1" ht="61.5" x14ac:dyDescent="0.9">
      <c r="A412" s="67">
        <v>1</v>
      </c>
      <c r="B412" s="118">
        <f>SUBTOTAL(103,$A$16:A412)</f>
        <v>360</v>
      </c>
      <c r="C412" s="115" t="s">
        <v>1331</v>
      </c>
      <c r="D412" s="122">
        <v>1977</v>
      </c>
      <c r="E412" s="127"/>
      <c r="F412" s="127" t="s">
        <v>274</v>
      </c>
      <c r="G412" s="122">
        <v>5</v>
      </c>
      <c r="H412" s="122">
        <v>4</v>
      </c>
      <c r="I412" s="126">
        <v>3403.05</v>
      </c>
      <c r="J412" s="126">
        <v>3132.12</v>
      </c>
      <c r="K412" s="126">
        <v>3132.12</v>
      </c>
      <c r="L412" s="124">
        <v>182</v>
      </c>
      <c r="M412" s="122" t="s">
        <v>272</v>
      </c>
      <c r="N412" s="122" t="s">
        <v>276</v>
      </c>
      <c r="O412" s="125" t="s">
        <v>1402</v>
      </c>
      <c r="P412" s="126">
        <v>5752371.9299999997</v>
      </c>
      <c r="Q412" s="126">
        <v>0</v>
      </c>
      <c r="R412" s="126">
        <v>0</v>
      </c>
      <c r="S412" s="126">
        <f t="shared" si="109"/>
        <v>5752371.9299999997</v>
      </c>
      <c r="T412" s="126">
        <f t="shared" si="101"/>
        <v>1690.3577467272005</v>
      </c>
      <c r="U412" s="126">
        <v>3255.85</v>
      </c>
    </row>
    <row r="413" spans="1:21" s="67" customFormat="1" ht="61.5" x14ac:dyDescent="0.9">
      <c r="A413" s="67">
        <v>1</v>
      </c>
      <c r="B413" s="118">
        <f>SUBTOTAL(103,$A$16:A413)</f>
        <v>361</v>
      </c>
      <c r="C413" s="115" t="s">
        <v>1332</v>
      </c>
      <c r="D413" s="122">
        <v>1992</v>
      </c>
      <c r="E413" s="127"/>
      <c r="F413" s="127" t="s">
        <v>274</v>
      </c>
      <c r="G413" s="122">
        <v>5</v>
      </c>
      <c r="H413" s="122">
        <v>5</v>
      </c>
      <c r="I413" s="126">
        <v>3685.4</v>
      </c>
      <c r="J413" s="126">
        <v>3322.7</v>
      </c>
      <c r="K413" s="126">
        <v>3214.1</v>
      </c>
      <c r="L413" s="124">
        <v>157</v>
      </c>
      <c r="M413" s="122" t="s">
        <v>272</v>
      </c>
      <c r="N413" s="122" t="s">
        <v>276</v>
      </c>
      <c r="O413" s="125" t="s">
        <v>1402</v>
      </c>
      <c r="P413" s="126">
        <v>6301674.0800000001</v>
      </c>
      <c r="Q413" s="126">
        <v>0</v>
      </c>
      <c r="R413" s="126">
        <v>0</v>
      </c>
      <c r="S413" s="126">
        <f t="shared" si="109"/>
        <v>6301674.0800000001</v>
      </c>
      <c r="T413" s="126">
        <f t="shared" si="101"/>
        <v>1709.9023389591359</v>
      </c>
      <c r="U413" s="126">
        <v>3255.85</v>
      </c>
    </row>
    <row r="414" spans="1:21" s="67" customFormat="1" ht="61.5" x14ac:dyDescent="0.9">
      <c r="A414" s="67">
        <v>1</v>
      </c>
      <c r="B414" s="118">
        <f>SUBTOTAL(103,$A$16:A414)</f>
        <v>362</v>
      </c>
      <c r="C414" s="115" t="s">
        <v>1333</v>
      </c>
      <c r="D414" s="122">
        <v>1970</v>
      </c>
      <c r="E414" s="127"/>
      <c r="F414" s="127" t="s">
        <v>274</v>
      </c>
      <c r="G414" s="122">
        <v>5</v>
      </c>
      <c r="H414" s="122">
        <v>3</v>
      </c>
      <c r="I414" s="126">
        <v>3891.1</v>
      </c>
      <c r="J414" s="126">
        <v>2505.5</v>
      </c>
      <c r="K414" s="126">
        <v>950.7</v>
      </c>
      <c r="L414" s="124">
        <v>253</v>
      </c>
      <c r="M414" s="122" t="s">
        <v>272</v>
      </c>
      <c r="N414" s="122" t="s">
        <v>276</v>
      </c>
      <c r="O414" s="125" t="s">
        <v>1402</v>
      </c>
      <c r="P414" s="126">
        <v>3267591.73</v>
      </c>
      <c r="Q414" s="126">
        <v>0</v>
      </c>
      <c r="R414" s="126">
        <v>0</v>
      </c>
      <c r="S414" s="126">
        <f t="shared" si="109"/>
        <v>3267591.73</v>
      </c>
      <c r="T414" s="126">
        <f t="shared" si="101"/>
        <v>839.76040965279742</v>
      </c>
      <c r="U414" s="126">
        <v>2753.19</v>
      </c>
    </row>
    <row r="415" spans="1:21" s="67" customFormat="1" ht="61.5" x14ac:dyDescent="0.9">
      <c r="A415" s="67">
        <v>1</v>
      </c>
      <c r="B415" s="118">
        <f>SUBTOTAL(103,$A$16:A415)</f>
        <v>363</v>
      </c>
      <c r="C415" s="115" t="s">
        <v>1334</v>
      </c>
      <c r="D415" s="122">
        <v>1982</v>
      </c>
      <c r="E415" s="127"/>
      <c r="F415" s="127" t="s">
        <v>274</v>
      </c>
      <c r="G415" s="122">
        <v>5</v>
      </c>
      <c r="H415" s="122">
        <v>7</v>
      </c>
      <c r="I415" s="126">
        <v>6331.45</v>
      </c>
      <c r="J415" s="126">
        <v>5066.51</v>
      </c>
      <c r="K415" s="126">
        <v>5066.51</v>
      </c>
      <c r="L415" s="124">
        <v>218</v>
      </c>
      <c r="M415" s="122" t="s">
        <v>272</v>
      </c>
      <c r="N415" s="122" t="s">
        <v>276</v>
      </c>
      <c r="O415" s="125" t="s">
        <v>278</v>
      </c>
      <c r="P415" s="126">
        <v>8744062.5899999999</v>
      </c>
      <c r="Q415" s="126">
        <v>0</v>
      </c>
      <c r="R415" s="126">
        <v>0</v>
      </c>
      <c r="S415" s="126">
        <f t="shared" si="109"/>
        <v>8744062.5899999999</v>
      </c>
      <c r="T415" s="126">
        <f t="shared" si="101"/>
        <v>1381.0521428740651</v>
      </c>
      <c r="U415" s="126">
        <v>3929.6299999999997</v>
      </c>
    </row>
    <row r="416" spans="1:21" s="67" customFormat="1" ht="61.5" x14ac:dyDescent="0.9">
      <c r="A416" s="67">
        <v>1</v>
      </c>
      <c r="B416" s="118">
        <f>SUBTOTAL(103,$A$16:A416)</f>
        <v>364</v>
      </c>
      <c r="C416" s="115" t="s">
        <v>1335</v>
      </c>
      <c r="D416" s="122">
        <v>1964</v>
      </c>
      <c r="E416" s="127"/>
      <c r="F416" s="127" t="s">
        <v>274</v>
      </c>
      <c r="G416" s="122">
        <v>3</v>
      </c>
      <c r="H416" s="122">
        <v>2</v>
      </c>
      <c r="I416" s="126">
        <v>1043.5999999999999</v>
      </c>
      <c r="J416" s="126">
        <v>970.7</v>
      </c>
      <c r="K416" s="126">
        <v>970.7</v>
      </c>
      <c r="L416" s="124">
        <v>62</v>
      </c>
      <c r="M416" s="122" t="s">
        <v>272</v>
      </c>
      <c r="N416" s="122" t="s">
        <v>276</v>
      </c>
      <c r="O416" s="125" t="s">
        <v>278</v>
      </c>
      <c r="P416" s="126">
        <v>3807324.93</v>
      </c>
      <c r="Q416" s="126">
        <v>0</v>
      </c>
      <c r="R416" s="126">
        <v>0</v>
      </c>
      <c r="S416" s="126">
        <f t="shared" si="109"/>
        <v>3807324.93</v>
      </c>
      <c r="T416" s="126">
        <f t="shared" si="101"/>
        <v>3648.2607608279041</v>
      </c>
      <c r="U416" s="126">
        <v>6205.5790275967811</v>
      </c>
    </row>
    <row r="417" spans="1:21" s="67" customFormat="1" ht="61.5" x14ac:dyDescent="0.9">
      <c r="B417" s="115" t="s">
        <v>896</v>
      </c>
      <c r="C417" s="115"/>
      <c r="D417" s="122" t="s">
        <v>943</v>
      </c>
      <c r="E417" s="122" t="s">
        <v>943</v>
      </c>
      <c r="F417" s="122" t="s">
        <v>943</v>
      </c>
      <c r="G417" s="122" t="s">
        <v>943</v>
      </c>
      <c r="H417" s="122" t="s">
        <v>943</v>
      </c>
      <c r="I417" s="123">
        <f>SUM(I418:I422)</f>
        <v>5121.21</v>
      </c>
      <c r="J417" s="123">
        <f t="shared" ref="J417:L417" si="110">SUM(J418:J422)</f>
        <v>4137.74</v>
      </c>
      <c r="K417" s="123">
        <f t="shared" si="110"/>
        <v>4095.04</v>
      </c>
      <c r="L417" s="124">
        <f t="shared" si="110"/>
        <v>162</v>
      </c>
      <c r="M417" s="122" t="s">
        <v>943</v>
      </c>
      <c r="N417" s="122" t="s">
        <v>943</v>
      </c>
      <c r="O417" s="125" t="s">
        <v>943</v>
      </c>
      <c r="P417" s="126">
        <v>12935472.42</v>
      </c>
      <c r="Q417" s="126">
        <f t="shared" ref="Q417:S417" si="111">SUM(Q418:Q422)</f>
        <v>0</v>
      </c>
      <c r="R417" s="126">
        <f t="shared" si="111"/>
        <v>0</v>
      </c>
      <c r="S417" s="126">
        <f t="shared" si="111"/>
        <v>12935472.42</v>
      </c>
      <c r="T417" s="126">
        <f t="shared" si="101"/>
        <v>2525.8625246767851</v>
      </c>
      <c r="U417" s="126">
        <f>MAX(U418:U422)</f>
        <v>5539.5971641709921</v>
      </c>
    </row>
    <row r="418" spans="1:21" s="67" customFormat="1" ht="61.5" x14ac:dyDescent="0.9">
      <c r="A418" s="67">
        <v>1</v>
      </c>
      <c r="B418" s="118">
        <f>SUBTOTAL(103,$A$16:A418)</f>
        <v>365</v>
      </c>
      <c r="C418" s="115" t="s">
        <v>44</v>
      </c>
      <c r="D418" s="122">
        <v>1956</v>
      </c>
      <c r="E418" s="127"/>
      <c r="F418" s="127" t="s">
        <v>274</v>
      </c>
      <c r="G418" s="122">
        <v>2</v>
      </c>
      <c r="H418" s="122">
        <v>2</v>
      </c>
      <c r="I418" s="126">
        <v>735.94</v>
      </c>
      <c r="J418" s="126">
        <v>672.45</v>
      </c>
      <c r="K418" s="126">
        <v>672.45</v>
      </c>
      <c r="L418" s="124">
        <v>31</v>
      </c>
      <c r="M418" s="122" t="s">
        <v>272</v>
      </c>
      <c r="N418" s="122" t="s">
        <v>276</v>
      </c>
      <c r="O418" s="125" t="s">
        <v>280</v>
      </c>
      <c r="P418" s="126">
        <v>3133231.94</v>
      </c>
      <c r="Q418" s="126">
        <v>0</v>
      </c>
      <c r="R418" s="126">
        <v>0</v>
      </c>
      <c r="S418" s="126">
        <f t="shared" ref="S418:S422" si="112">P418-Q418-R418</f>
        <v>3133231.94</v>
      </c>
      <c r="T418" s="126">
        <f t="shared" si="101"/>
        <v>4257.455689322499</v>
      </c>
      <c r="U418" s="126">
        <v>5539.5971641709921</v>
      </c>
    </row>
    <row r="419" spans="1:21" s="67" customFormat="1" ht="61.5" x14ac:dyDescent="0.9">
      <c r="A419" s="67">
        <v>1</v>
      </c>
      <c r="B419" s="118">
        <f>SUBTOTAL(103,$A$16:A419)</f>
        <v>366</v>
      </c>
      <c r="C419" s="115" t="s">
        <v>43</v>
      </c>
      <c r="D419" s="122">
        <v>1963</v>
      </c>
      <c r="E419" s="127"/>
      <c r="F419" s="127" t="s">
        <v>274</v>
      </c>
      <c r="G419" s="122">
        <v>2</v>
      </c>
      <c r="H419" s="122">
        <v>2</v>
      </c>
      <c r="I419" s="126">
        <v>687.5</v>
      </c>
      <c r="J419" s="126">
        <v>521.5</v>
      </c>
      <c r="K419" s="126">
        <v>478.8</v>
      </c>
      <c r="L419" s="124">
        <v>14</v>
      </c>
      <c r="M419" s="122" t="s">
        <v>272</v>
      </c>
      <c r="N419" s="122" t="s">
        <v>276</v>
      </c>
      <c r="O419" s="125" t="s">
        <v>280</v>
      </c>
      <c r="P419" s="126">
        <v>2596411.7300000004</v>
      </c>
      <c r="Q419" s="126">
        <v>0</v>
      </c>
      <c r="R419" s="126">
        <v>0</v>
      </c>
      <c r="S419" s="126">
        <f t="shared" si="112"/>
        <v>2596411.7300000004</v>
      </c>
      <c r="T419" s="126">
        <f t="shared" si="101"/>
        <v>3776.5988800000005</v>
      </c>
      <c r="U419" s="126">
        <v>4913.9405701818177</v>
      </c>
    </row>
    <row r="420" spans="1:21" s="67" customFormat="1" ht="61.5" x14ac:dyDescent="0.9">
      <c r="A420" s="67">
        <v>1</v>
      </c>
      <c r="B420" s="118">
        <f>SUBTOTAL(103,$A$16:A420)</f>
        <v>367</v>
      </c>
      <c r="C420" s="115" t="s">
        <v>45</v>
      </c>
      <c r="D420" s="122">
        <v>1964</v>
      </c>
      <c r="E420" s="127"/>
      <c r="F420" s="127" t="s">
        <v>274</v>
      </c>
      <c r="G420" s="122">
        <v>2</v>
      </c>
      <c r="H420" s="122">
        <v>2</v>
      </c>
      <c r="I420" s="126">
        <v>691.68</v>
      </c>
      <c r="J420" s="126">
        <v>643.4</v>
      </c>
      <c r="K420" s="126">
        <v>643.4</v>
      </c>
      <c r="L420" s="124">
        <v>15</v>
      </c>
      <c r="M420" s="122" t="s">
        <v>272</v>
      </c>
      <c r="N420" s="122" t="s">
        <v>276</v>
      </c>
      <c r="O420" s="125" t="s">
        <v>280</v>
      </c>
      <c r="P420" s="126">
        <v>2680434.66</v>
      </c>
      <c r="Q420" s="126">
        <v>0</v>
      </c>
      <c r="R420" s="126">
        <v>0</v>
      </c>
      <c r="S420" s="126">
        <f t="shared" si="112"/>
        <v>2680434.66</v>
      </c>
      <c r="T420" s="126">
        <f t="shared" si="101"/>
        <v>3875.2525156141573</v>
      </c>
      <c r="U420" s="126">
        <v>5042.3042100393241</v>
      </c>
    </row>
    <row r="421" spans="1:21" s="67" customFormat="1" ht="61.5" x14ac:dyDescent="0.9">
      <c r="A421" s="67">
        <v>1</v>
      </c>
      <c r="B421" s="118">
        <f>SUBTOTAL(103,$A$16:A421)</f>
        <v>368</v>
      </c>
      <c r="C421" s="115" t="s">
        <v>1341</v>
      </c>
      <c r="D421" s="122">
        <v>1974</v>
      </c>
      <c r="E421" s="127"/>
      <c r="F421" s="127" t="s">
        <v>274</v>
      </c>
      <c r="G421" s="122">
        <v>5</v>
      </c>
      <c r="H421" s="122">
        <v>2</v>
      </c>
      <c r="I421" s="126">
        <v>2403.29</v>
      </c>
      <c r="J421" s="126">
        <v>1756.39</v>
      </c>
      <c r="K421" s="126">
        <v>1756.39</v>
      </c>
      <c r="L421" s="124">
        <v>78</v>
      </c>
      <c r="M421" s="122" t="s">
        <v>272</v>
      </c>
      <c r="N421" s="122" t="s">
        <v>276</v>
      </c>
      <c r="O421" s="125" t="s">
        <v>280</v>
      </c>
      <c r="P421" s="126">
        <v>2789959.37</v>
      </c>
      <c r="Q421" s="126">
        <v>0</v>
      </c>
      <c r="R421" s="126">
        <v>0</v>
      </c>
      <c r="S421" s="126">
        <f t="shared" si="112"/>
        <v>2789959.37</v>
      </c>
      <c r="T421" s="126">
        <f t="shared" si="101"/>
        <v>1160.8916818195057</v>
      </c>
      <c r="U421" s="126">
        <v>3521.88</v>
      </c>
    </row>
    <row r="422" spans="1:21" s="67" customFormat="1" ht="61.5" x14ac:dyDescent="0.9">
      <c r="A422" s="67">
        <v>1</v>
      </c>
      <c r="B422" s="118">
        <f>SUBTOTAL(103,$A$16:A422)</f>
        <v>369</v>
      </c>
      <c r="C422" s="115" t="s">
        <v>1342</v>
      </c>
      <c r="D422" s="122">
        <v>1936</v>
      </c>
      <c r="E422" s="127"/>
      <c r="F422" s="127" t="s">
        <v>340</v>
      </c>
      <c r="G422" s="122">
        <v>2</v>
      </c>
      <c r="H422" s="122">
        <v>2</v>
      </c>
      <c r="I422" s="126">
        <v>602.79999999999995</v>
      </c>
      <c r="J422" s="126">
        <v>544</v>
      </c>
      <c r="K422" s="126">
        <v>544</v>
      </c>
      <c r="L422" s="124">
        <v>24</v>
      </c>
      <c r="M422" s="122" t="s">
        <v>272</v>
      </c>
      <c r="N422" s="122" t="s">
        <v>276</v>
      </c>
      <c r="O422" s="125" t="s">
        <v>280</v>
      </c>
      <c r="P422" s="126">
        <v>1735434.72</v>
      </c>
      <c r="Q422" s="126">
        <v>0</v>
      </c>
      <c r="R422" s="126">
        <v>0</v>
      </c>
      <c r="S422" s="126">
        <f t="shared" si="112"/>
        <v>1735434.72</v>
      </c>
      <c r="T422" s="126">
        <f t="shared" si="101"/>
        <v>2878.956071665561</v>
      </c>
      <c r="U422" s="126">
        <v>5082.6987060384872</v>
      </c>
    </row>
    <row r="423" spans="1:21" s="67" customFormat="1" ht="61.5" x14ac:dyDescent="0.9">
      <c r="B423" s="115" t="s">
        <v>897</v>
      </c>
      <c r="C423" s="115"/>
      <c r="D423" s="122" t="s">
        <v>943</v>
      </c>
      <c r="E423" s="122" t="s">
        <v>943</v>
      </c>
      <c r="F423" s="122" t="s">
        <v>943</v>
      </c>
      <c r="G423" s="122" t="s">
        <v>943</v>
      </c>
      <c r="H423" s="122" t="s">
        <v>943</v>
      </c>
      <c r="I423" s="123">
        <f>I424</f>
        <v>676.5</v>
      </c>
      <c r="J423" s="123">
        <f t="shared" ref="J423:L423" si="113">J424</f>
        <v>628.1</v>
      </c>
      <c r="K423" s="123">
        <f t="shared" si="113"/>
        <v>542.1</v>
      </c>
      <c r="L423" s="124">
        <f t="shared" si="113"/>
        <v>32</v>
      </c>
      <c r="M423" s="122" t="s">
        <v>943</v>
      </c>
      <c r="N423" s="122" t="s">
        <v>943</v>
      </c>
      <c r="O423" s="125" t="s">
        <v>943</v>
      </c>
      <c r="P423" s="126">
        <v>2374695.6799999997</v>
      </c>
      <c r="Q423" s="126">
        <f t="shared" ref="Q423:S423" si="114">Q424</f>
        <v>0</v>
      </c>
      <c r="R423" s="126">
        <f t="shared" si="114"/>
        <v>0</v>
      </c>
      <c r="S423" s="126">
        <f t="shared" si="114"/>
        <v>2374695.6799999997</v>
      </c>
      <c r="T423" s="126">
        <f t="shared" si="101"/>
        <v>3510.2670805617145</v>
      </c>
      <c r="U423" s="126">
        <f>MAX(U424)</f>
        <v>4888.0994826311899</v>
      </c>
    </row>
    <row r="424" spans="1:21" s="67" customFormat="1" ht="61.5" x14ac:dyDescent="0.9">
      <c r="A424" s="67">
        <v>1</v>
      </c>
      <c r="B424" s="118">
        <f>SUBTOTAL(103,$A$16:A424)</f>
        <v>370</v>
      </c>
      <c r="C424" s="115" t="s">
        <v>42</v>
      </c>
      <c r="D424" s="122">
        <v>1960</v>
      </c>
      <c r="E424" s="127"/>
      <c r="F424" s="127" t="s">
        <v>274</v>
      </c>
      <c r="G424" s="122">
        <v>2</v>
      </c>
      <c r="H424" s="122">
        <v>2</v>
      </c>
      <c r="I424" s="126">
        <v>676.5</v>
      </c>
      <c r="J424" s="126">
        <v>628.1</v>
      </c>
      <c r="K424" s="126">
        <v>542.1</v>
      </c>
      <c r="L424" s="124">
        <v>32</v>
      </c>
      <c r="M424" s="122" t="s">
        <v>272</v>
      </c>
      <c r="N424" s="122" t="s">
        <v>276</v>
      </c>
      <c r="O424" s="125" t="s">
        <v>281</v>
      </c>
      <c r="P424" s="126">
        <v>2374695.6799999997</v>
      </c>
      <c r="Q424" s="126">
        <v>0</v>
      </c>
      <c r="R424" s="126">
        <v>0</v>
      </c>
      <c r="S424" s="126">
        <f>P424-Q424-R424</f>
        <v>2374695.6799999997</v>
      </c>
      <c r="T424" s="126">
        <f t="shared" si="101"/>
        <v>3510.2670805617145</v>
      </c>
      <c r="U424" s="126">
        <v>4888.0994826311899</v>
      </c>
    </row>
    <row r="425" spans="1:21" s="67" customFormat="1" ht="61.5" x14ac:dyDescent="0.9">
      <c r="B425" s="115" t="s">
        <v>898</v>
      </c>
      <c r="C425" s="115"/>
      <c r="D425" s="122" t="s">
        <v>943</v>
      </c>
      <c r="E425" s="122" t="s">
        <v>943</v>
      </c>
      <c r="F425" s="122" t="s">
        <v>943</v>
      </c>
      <c r="G425" s="122" t="s">
        <v>943</v>
      </c>
      <c r="H425" s="122" t="s">
        <v>943</v>
      </c>
      <c r="I425" s="123">
        <f>SUM(I426:I434)</f>
        <v>14074.8</v>
      </c>
      <c r="J425" s="123">
        <f t="shared" ref="J425:L425" si="115">SUM(J426:J434)</f>
        <v>12404.339999999998</v>
      </c>
      <c r="K425" s="123">
        <f t="shared" si="115"/>
        <v>11986.91</v>
      </c>
      <c r="L425" s="124">
        <f t="shared" si="115"/>
        <v>602</v>
      </c>
      <c r="M425" s="122" t="s">
        <v>943</v>
      </c>
      <c r="N425" s="122" t="s">
        <v>943</v>
      </c>
      <c r="O425" s="125" t="s">
        <v>943</v>
      </c>
      <c r="P425" s="126">
        <v>30416442.670000002</v>
      </c>
      <c r="Q425" s="126">
        <f t="shared" ref="Q425:S425" si="116">SUM(Q426:Q434)</f>
        <v>0</v>
      </c>
      <c r="R425" s="126">
        <f t="shared" si="116"/>
        <v>0</v>
      </c>
      <c r="S425" s="126">
        <f t="shared" si="116"/>
        <v>30416442.670000002</v>
      </c>
      <c r="T425" s="126">
        <f t="shared" si="101"/>
        <v>2161.056829937193</v>
      </c>
      <c r="U425" s="126">
        <f>MAX(U426:U434)</f>
        <v>6460.0386303443056</v>
      </c>
    </row>
    <row r="426" spans="1:21" s="67" customFormat="1" ht="61.5" x14ac:dyDescent="0.9">
      <c r="A426" s="67">
        <v>1</v>
      </c>
      <c r="B426" s="118">
        <f>SUBTOTAL(103,$A$16:A426)</f>
        <v>371</v>
      </c>
      <c r="C426" s="115" t="s">
        <v>51</v>
      </c>
      <c r="D426" s="122">
        <v>1941</v>
      </c>
      <c r="E426" s="127"/>
      <c r="F426" s="127" t="s">
        <v>274</v>
      </c>
      <c r="G426" s="122">
        <v>3</v>
      </c>
      <c r="H426" s="122">
        <v>3</v>
      </c>
      <c r="I426" s="126">
        <v>1207.5</v>
      </c>
      <c r="J426" s="126">
        <v>1028.42</v>
      </c>
      <c r="K426" s="126">
        <v>1028.42</v>
      </c>
      <c r="L426" s="124">
        <v>51</v>
      </c>
      <c r="M426" s="122" t="s">
        <v>272</v>
      </c>
      <c r="N426" s="122" t="s">
        <v>273</v>
      </c>
      <c r="O426" s="125" t="s">
        <v>275</v>
      </c>
      <c r="P426" s="126">
        <v>4528867.1400000006</v>
      </c>
      <c r="Q426" s="126">
        <v>0</v>
      </c>
      <c r="R426" s="126">
        <v>0</v>
      </c>
      <c r="S426" s="126">
        <f t="shared" ref="S426:S434" si="117">P426-Q426-R426</f>
        <v>4528867.1400000006</v>
      </c>
      <c r="T426" s="126">
        <f t="shared" si="101"/>
        <v>3750.6146086956528</v>
      </c>
      <c r="U426" s="126">
        <v>4847.2337565217385</v>
      </c>
    </row>
    <row r="427" spans="1:21" s="67" customFormat="1" ht="61.5" x14ac:dyDescent="0.9">
      <c r="A427" s="67">
        <v>1</v>
      </c>
      <c r="B427" s="118">
        <f>SUBTOTAL(103,$A$16:A427)</f>
        <v>372</v>
      </c>
      <c r="C427" s="115" t="s">
        <v>49</v>
      </c>
      <c r="D427" s="122">
        <v>1972</v>
      </c>
      <c r="E427" s="127"/>
      <c r="F427" s="127" t="s">
        <v>274</v>
      </c>
      <c r="G427" s="122">
        <v>2</v>
      </c>
      <c r="H427" s="122">
        <v>2</v>
      </c>
      <c r="I427" s="126">
        <v>729.8</v>
      </c>
      <c r="J427" s="126">
        <v>670.43999999999994</v>
      </c>
      <c r="K427" s="126">
        <v>670.44</v>
      </c>
      <c r="L427" s="124">
        <v>29</v>
      </c>
      <c r="M427" s="122" t="s">
        <v>272</v>
      </c>
      <c r="N427" s="122" t="s">
        <v>273</v>
      </c>
      <c r="O427" s="125" t="s">
        <v>275</v>
      </c>
      <c r="P427" s="126">
        <v>3408268.86</v>
      </c>
      <c r="Q427" s="126">
        <v>0</v>
      </c>
      <c r="R427" s="126">
        <v>0</v>
      </c>
      <c r="S427" s="126">
        <f t="shared" si="117"/>
        <v>3408268.86</v>
      </c>
      <c r="T427" s="126">
        <f t="shared" si="101"/>
        <v>4670.1409427240342</v>
      </c>
      <c r="U427" s="126">
        <v>6035.6147423951779</v>
      </c>
    </row>
    <row r="428" spans="1:21" s="67" customFormat="1" ht="61.5" x14ac:dyDescent="0.9">
      <c r="A428" s="67">
        <v>1</v>
      </c>
      <c r="B428" s="118">
        <f>SUBTOTAL(103,$A$16:A428)</f>
        <v>373</v>
      </c>
      <c r="C428" s="115" t="s">
        <v>50</v>
      </c>
      <c r="D428" s="122">
        <v>1962</v>
      </c>
      <c r="E428" s="127"/>
      <c r="F428" s="127" t="s">
        <v>274</v>
      </c>
      <c r="G428" s="122">
        <v>4</v>
      </c>
      <c r="H428" s="122">
        <v>3</v>
      </c>
      <c r="I428" s="126">
        <v>1905.34</v>
      </c>
      <c r="J428" s="126">
        <v>1830.34</v>
      </c>
      <c r="K428" s="126">
        <v>1708.94</v>
      </c>
      <c r="L428" s="124">
        <v>104</v>
      </c>
      <c r="M428" s="122" t="s">
        <v>272</v>
      </c>
      <c r="N428" s="122" t="s">
        <v>273</v>
      </c>
      <c r="O428" s="125" t="s">
        <v>275</v>
      </c>
      <c r="P428" s="126">
        <v>4683432.42</v>
      </c>
      <c r="Q428" s="126">
        <v>0</v>
      </c>
      <c r="R428" s="126">
        <v>0</v>
      </c>
      <c r="S428" s="126">
        <f t="shared" si="117"/>
        <v>4683432.42</v>
      </c>
      <c r="T428" s="126">
        <f t="shared" si="101"/>
        <v>2458.0560005038474</v>
      </c>
      <c r="U428" s="126">
        <v>3176.7518831284701</v>
      </c>
    </row>
    <row r="429" spans="1:21" s="67" customFormat="1" ht="61.5" x14ac:dyDescent="0.9">
      <c r="A429" s="67">
        <v>1</v>
      </c>
      <c r="B429" s="118">
        <f>SUBTOTAL(103,$A$16:A429)</f>
        <v>374</v>
      </c>
      <c r="C429" s="115" t="s">
        <v>52</v>
      </c>
      <c r="D429" s="122">
        <v>1971</v>
      </c>
      <c r="E429" s="127"/>
      <c r="F429" s="127" t="s">
        <v>274</v>
      </c>
      <c r="G429" s="122">
        <v>2</v>
      </c>
      <c r="H429" s="122">
        <v>2</v>
      </c>
      <c r="I429" s="126">
        <v>758.5</v>
      </c>
      <c r="J429" s="126">
        <v>696.38</v>
      </c>
      <c r="K429" s="126">
        <v>644.48</v>
      </c>
      <c r="L429" s="124">
        <v>22</v>
      </c>
      <c r="M429" s="122" t="s">
        <v>272</v>
      </c>
      <c r="N429" s="122" t="s">
        <v>273</v>
      </c>
      <c r="O429" s="125" t="s">
        <v>275</v>
      </c>
      <c r="P429" s="126">
        <v>3556045.8</v>
      </c>
      <c r="Q429" s="126">
        <v>0</v>
      </c>
      <c r="R429" s="126">
        <v>0</v>
      </c>
      <c r="S429" s="126">
        <f t="shared" si="117"/>
        <v>3556045.8</v>
      </c>
      <c r="T429" s="126">
        <f t="shared" si="101"/>
        <v>4688.2607778510219</v>
      </c>
      <c r="U429" s="126">
        <v>6059.0325247198416</v>
      </c>
    </row>
    <row r="430" spans="1:21" s="67" customFormat="1" ht="61.5" x14ac:dyDescent="0.9">
      <c r="A430" s="67">
        <v>1</v>
      </c>
      <c r="B430" s="118">
        <f>SUBTOTAL(103,$A$16:A430)</f>
        <v>375</v>
      </c>
      <c r="C430" s="115" t="s">
        <v>1336</v>
      </c>
      <c r="D430" s="122">
        <v>1978</v>
      </c>
      <c r="E430" s="127"/>
      <c r="F430" s="127" t="s">
        <v>274</v>
      </c>
      <c r="G430" s="122">
        <v>3</v>
      </c>
      <c r="H430" s="122">
        <v>3</v>
      </c>
      <c r="I430" s="126">
        <v>1326.37</v>
      </c>
      <c r="J430" s="126">
        <v>1191.9699999999998</v>
      </c>
      <c r="K430" s="126">
        <v>1191.97</v>
      </c>
      <c r="L430" s="124">
        <v>55</v>
      </c>
      <c r="M430" s="122" t="s">
        <v>272</v>
      </c>
      <c r="N430" s="122" t="s">
        <v>273</v>
      </c>
      <c r="O430" s="125" t="s">
        <v>275</v>
      </c>
      <c r="P430" s="126">
        <v>3146286.42</v>
      </c>
      <c r="Q430" s="126">
        <v>0</v>
      </c>
      <c r="R430" s="126">
        <v>0</v>
      </c>
      <c r="S430" s="126">
        <f t="shared" si="117"/>
        <v>3146286.42</v>
      </c>
      <c r="T430" s="126">
        <f t="shared" si="101"/>
        <v>2372.103123562807</v>
      </c>
      <c r="U430" s="126">
        <v>3452.2077135339314</v>
      </c>
    </row>
    <row r="431" spans="1:21" s="67" customFormat="1" ht="61.5" x14ac:dyDescent="0.9">
      <c r="A431" s="67">
        <v>1</v>
      </c>
      <c r="B431" s="118">
        <f>SUBTOTAL(103,$A$16:A431)</f>
        <v>376</v>
      </c>
      <c r="C431" s="115" t="s">
        <v>1337</v>
      </c>
      <c r="D431" s="122">
        <v>1983</v>
      </c>
      <c r="E431" s="127"/>
      <c r="F431" s="127" t="s">
        <v>274</v>
      </c>
      <c r="G431" s="122">
        <v>5</v>
      </c>
      <c r="H431" s="122">
        <v>6</v>
      </c>
      <c r="I431" s="126">
        <v>4088.44</v>
      </c>
      <c r="J431" s="126">
        <v>3644.94</v>
      </c>
      <c r="K431" s="126">
        <v>3612.34</v>
      </c>
      <c r="L431" s="124">
        <v>151</v>
      </c>
      <c r="M431" s="122" t="s">
        <v>272</v>
      </c>
      <c r="N431" s="122" t="s">
        <v>276</v>
      </c>
      <c r="O431" s="125" t="s">
        <v>1401</v>
      </c>
      <c r="P431" s="126">
        <v>2725925.2399999998</v>
      </c>
      <c r="Q431" s="126">
        <v>0</v>
      </c>
      <c r="R431" s="126">
        <v>0</v>
      </c>
      <c r="S431" s="126">
        <f t="shared" si="117"/>
        <v>2725925.2399999998</v>
      </c>
      <c r="T431" s="126">
        <f t="shared" si="101"/>
        <v>666.7396953361183</v>
      </c>
      <c r="U431" s="126">
        <v>2108.3710317382665</v>
      </c>
    </row>
    <row r="432" spans="1:21" s="67" customFormat="1" ht="61.5" x14ac:dyDescent="0.9">
      <c r="A432" s="67">
        <v>1</v>
      </c>
      <c r="B432" s="118">
        <f>SUBTOTAL(103,$A$16:A432)</f>
        <v>377</v>
      </c>
      <c r="C432" s="115" t="s">
        <v>1338</v>
      </c>
      <c r="D432" s="122">
        <v>1974</v>
      </c>
      <c r="E432" s="127"/>
      <c r="F432" s="127" t="s">
        <v>321</v>
      </c>
      <c r="G432" s="122">
        <v>5</v>
      </c>
      <c r="H432" s="122">
        <v>5</v>
      </c>
      <c r="I432" s="126">
        <v>3399.85</v>
      </c>
      <c r="J432" s="126">
        <v>2854.6499999999996</v>
      </c>
      <c r="K432" s="126">
        <v>2776.82</v>
      </c>
      <c r="L432" s="124">
        <v>163</v>
      </c>
      <c r="M432" s="122" t="s">
        <v>272</v>
      </c>
      <c r="N432" s="122" t="s">
        <v>276</v>
      </c>
      <c r="O432" s="125" t="s">
        <v>1401</v>
      </c>
      <c r="P432" s="126">
        <v>4753777.6900000004</v>
      </c>
      <c r="Q432" s="126">
        <v>0</v>
      </c>
      <c r="R432" s="126">
        <v>0</v>
      </c>
      <c r="S432" s="126">
        <f t="shared" si="117"/>
        <v>4753777.6900000004</v>
      </c>
      <c r="T432" s="126">
        <f t="shared" si="101"/>
        <v>1398.2315955115669</v>
      </c>
      <c r="U432" s="126">
        <v>6400.8494324749627</v>
      </c>
    </row>
    <row r="433" spans="1:21" s="67" customFormat="1" ht="61.5" x14ac:dyDescent="0.9">
      <c r="A433" s="67">
        <v>1</v>
      </c>
      <c r="B433" s="118">
        <f>SUBTOTAL(103,$A$16:A433)</f>
        <v>378</v>
      </c>
      <c r="C433" s="115" t="s">
        <v>1339</v>
      </c>
      <c r="D433" s="122">
        <v>1959</v>
      </c>
      <c r="E433" s="127"/>
      <c r="F433" s="127" t="s">
        <v>274</v>
      </c>
      <c r="G433" s="122">
        <v>1</v>
      </c>
      <c r="H433" s="122">
        <v>1</v>
      </c>
      <c r="I433" s="126">
        <v>264.3</v>
      </c>
      <c r="J433" s="126">
        <v>252.9</v>
      </c>
      <c r="K433" s="126">
        <v>119.20000000000002</v>
      </c>
      <c r="L433" s="124">
        <v>15</v>
      </c>
      <c r="M433" s="122" t="s">
        <v>272</v>
      </c>
      <c r="N433" s="122" t="s">
        <v>273</v>
      </c>
      <c r="O433" s="125" t="s">
        <v>275</v>
      </c>
      <c r="P433" s="126">
        <v>1452832.41</v>
      </c>
      <c r="Q433" s="126">
        <v>0</v>
      </c>
      <c r="R433" s="126">
        <v>0</v>
      </c>
      <c r="S433" s="126">
        <f t="shared" si="117"/>
        <v>1452832.41</v>
      </c>
      <c r="T433" s="126">
        <f t="shared" si="101"/>
        <v>5496.9065834279227</v>
      </c>
      <c r="U433" s="126">
        <v>6460.0386303443056</v>
      </c>
    </row>
    <row r="434" spans="1:21" s="67" customFormat="1" ht="61.5" x14ac:dyDescent="0.9">
      <c r="A434" s="67">
        <v>1</v>
      </c>
      <c r="B434" s="118">
        <f>SUBTOTAL(103,$A$16:A434)</f>
        <v>379</v>
      </c>
      <c r="C434" s="115" t="s">
        <v>1340</v>
      </c>
      <c r="D434" s="122">
        <v>19557</v>
      </c>
      <c r="E434" s="127"/>
      <c r="F434" s="127" t="s">
        <v>340</v>
      </c>
      <c r="G434" s="122">
        <v>2</v>
      </c>
      <c r="H434" s="122">
        <v>2</v>
      </c>
      <c r="I434" s="126">
        <v>394.7</v>
      </c>
      <c r="J434" s="126">
        <v>234.3</v>
      </c>
      <c r="K434" s="126">
        <v>234.3</v>
      </c>
      <c r="L434" s="124">
        <v>12</v>
      </c>
      <c r="M434" s="122" t="s">
        <v>272</v>
      </c>
      <c r="N434" s="122" t="s">
        <v>273</v>
      </c>
      <c r="O434" s="125" t="s">
        <v>275</v>
      </c>
      <c r="P434" s="126">
        <v>2161006.69</v>
      </c>
      <c r="Q434" s="126">
        <v>0</v>
      </c>
      <c r="R434" s="126">
        <v>0</v>
      </c>
      <c r="S434" s="126">
        <f t="shared" si="117"/>
        <v>2161006.69</v>
      </c>
      <c r="T434" s="126">
        <f t="shared" si="101"/>
        <v>5475.0612870534587</v>
      </c>
      <c r="U434" s="126">
        <v>6001.3885736002021</v>
      </c>
    </row>
    <row r="435" spans="1:21" s="67" customFormat="1" ht="61.5" x14ac:dyDescent="0.9">
      <c r="B435" s="115" t="s">
        <v>928</v>
      </c>
      <c r="C435" s="119"/>
      <c r="D435" s="122" t="s">
        <v>943</v>
      </c>
      <c r="E435" s="122" t="s">
        <v>943</v>
      </c>
      <c r="F435" s="122" t="s">
        <v>943</v>
      </c>
      <c r="G435" s="122" t="s">
        <v>943</v>
      </c>
      <c r="H435" s="122" t="s">
        <v>943</v>
      </c>
      <c r="I435" s="123">
        <f>I436</f>
        <v>609.5</v>
      </c>
      <c r="J435" s="123">
        <f t="shared" ref="J435:L435" si="118">J436</f>
        <v>564.4</v>
      </c>
      <c r="K435" s="123">
        <f t="shared" si="118"/>
        <v>202</v>
      </c>
      <c r="L435" s="124">
        <f t="shared" si="118"/>
        <v>16</v>
      </c>
      <c r="M435" s="122" t="s">
        <v>943</v>
      </c>
      <c r="N435" s="122" t="s">
        <v>943</v>
      </c>
      <c r="O435" s="125" t="s">
        <v>943</v>
      </c>
      <c r="P435" s="126">
        <v>2521615.3599999999</v>
      </c>
      <c r="Q435" s="126">
        <f t="shared" ref="Q435:S435" si="119">Q436</f>
        <v>0</v>
      </c>
      <c r="R435" s="126">
        <f t="shared" si="119"/>
        <v>492144.32</v>
      </c>
      <c r="S435" s="126">
        <f t="shared" si="119"/>
        <v>2029471.0399999998</v>
      </c>
      <c r="T435" s="126">
        <f t="shared" si="101"/>
        <v>4137.1868088597212</v>
      </c>
      <c r="U435" s="126">
        <f>MAX(U436)</f>
        <v>5666.8057850697287</v>
      </c>
    </row>
    <row r="436" spans="1:21" s="67" customFormat="1" ht="61.5" x14ac:dyDescent="0.9">
      <c r="A436" s="67">
        <v>1</v>
      </c>
      <c r="B436" s="118">
        <f>SUBTOTAL(103,$A$16:A436)</f>
        <v>380</v>
      </c>
      <c r="C436" s="115" t="s">
        <v>1344</v>
      </c>
      <c r="D436" s="122">
        <v>1917</v>
      </c>
      <c r="E436" s="127"/>
      <c r="F436" s="127" t="s">
        <v>274</v>
      </c>
      <c r="G436" s="122">
        <v>2</v>
      </c>
      <c r="H436" s="122">
        <v>1</v>
      </c>
      <c r="I436" s="126">
        <v>609.5</v>
      </c>
      <c r="J436" s="126">
        <v>564.4</v>
      </c>
      <c r="K436" s="126">
        <v>202</v>
      </c>
      <c r="L436" s="124">
        <v>16</v>
      </c>
      <c r="M436" s="122" t="s">
        <v>272</v>
      </c>
      <c r="N436" s="122" t="s">
        <v>273</v>
      </c>
      <c r="O436" s="125" t="s">
        <v>275</v>
      </c>
      <c r="P436" s="126">
        <v>2521615.3599999999</v>
      </c>
      <c r="Q436" s="126">
        <v>0</v>
      </c>
      <c r="R436" s="126">
        <v>492144.32</v>
      </c>
      <c r="S436" s="126">
        <f>P436-Q436-R436</f>
        <v>2029471.0399999998</v>
      </c>
      <c r="T436" s="126">
        <f t="shared" si="101"/>
        <v>4137.1868088597212</v>
      </c>
      <c r="U436" s="126">
        <v>5666.8057850697287</v>
      </c>
    </row>
    <row r="437" spans="1:21" s="67" customFormat="1" ht="61.5" x14ac:dyDescent="0.9">
      <c r="B437" s="115" t="s">
        <v>899</v>
      </c>
      <c r="C437" s="119"/>
      <c r="D437" s="122" t="s">
        <v>943</v>
      </c>
      <c r="E437" s="122" t="s">
        <v>943</v>
      </c>
      <c r="F437" s="122" t="s">
        <v>943</v>
      </c>
      <c r="G437" s="122" t="s">
        <v>943</v>
      </c>
      <c r="H437" s="122" t="s">
        <v>943</v>
      </c>
      <c r="I437" s="123">
        <f>I438</f>
        <v>940.6</v>
      </c>
      <c r="J437" s="123">
        <f t="shared" ref="J437:L437" si="120">J438</f>
        <v>495.6</v>
      </c>
      <c r="K437" s="123">
        <f t="shared" si="120"/>
        <v>495.6</v>
      </c>
      <c r="L437" s="124">
        <f t="shared" si="120"/>
        <v>33</v>
      </c>
      <c r="M437" s="122" t="s">
        <v>943</v>
      </c>
      <c r="N437" s="122" t="s">
        <v>943</v>
      </c>
      <c r="O437" s="125" t="s">
        <v>943</v>
      </c>
      <c r="P437" s="126">
        <v>4438530</v>
      </c>
      <c r="Q437" s="126">
        <f t="shared" ref="Q437:S437" si="121">Q438</f>
        <v>0</v>
      </c>
      <c r="R437" s="126">
        <f t="shared" si="121"/>
        <v>0</v>
      </c>
      <c r="S437" s="126">
        <f t="shared" si="121"/>
        <v>4438530</v>
      </c>
      <c r="T437" s="126">
        <f t="shared" si="101"/>
        <v>4718.8284073995319</v>
      </c>
      <c r="U437" s="126">
        <f>MAX(U438)</f>
        <v>6127.2366361896657</v>
      </c>
    </row>
    <row r="438" spans="1:21" s="67" customFormat="1" ht="61.5" x14ac:dyDescent="0.9">
      <c r="A438" s="67">
        <v>1</v>
      </c>
      <c r="B438" s="118">
        <f>SUBTOTAL(103,$A$16:A438)</f>
        <v>381</v>
      </c>
      <c r="C438" s="115" t="s">
        <v>233</v>
      </c>
      <c r="D438" s="122">
        <v>1995</v>
      </c>
      <c r="E438" s="127"/>
      <c r="F438" s="127" t="s">
        <v>274</v>
      </c>
      <c r="G438" s="122">
        <v>2</v>
      </c>
      <c r="H438" s="122">
        <v>3</v>
      </c>
      <c r="I438" s="126">
        <v>940.6</v>
      </c>
      <c r="J438" s="126">
        <v>495.6</v>
      </c>
      <c r="K438" s="126">
        <v>495.6</v>
      </c>
      <c r="L438" s="124">
        <v>33</v>
      </c>
      <c r="M438" s="122" t="s">
        <v>272</v>
      </c>
      <c r="N438" s="122" t="s">
        <v>276</v>
      </c>
      <c r="O438" s="125" t="s">
        <v>751</v>
      </c>
      <c r="P438" s="126">
        <v>4438530</v>
      </c>
      <c r="Q438" s="126">
        <v>0</v>
      </c>
      <c r="R438" s="126">
        <v>0</v>
      </c>
      <c r="S438" s="126">
        <f>P438-Q438-R438</f>
        <v>4438530</v>
      </c>
      <c r="T438" s="126">
        <f t="shared" si="101"/>
        <v>4718.8284073995319</v>
      </c>
      <c r="U438" s="126">
        <v>6127.2366361896657</v>
      </c>
    </row>
    <row r="439" spans="1:21" s="67" customFormat="1" ht="61.5" x14ac:dyDescent="0.9">
      <c r="B439" s="115" t="s">
        <v>900</v>
      </c>
      <c r="C439" s="115"/>
      <c r="D439" s="122" t="s">
        <v>943</v>
      </c>
      <c r="E439" s="122" t="s">
        <v>943</v>
      </c>
      <c r="F439" s="122" t="s">
        <v>943</v>
      </c>
      <c r="G439" s="122" t="s">
        <v>943</v>
      </c>
      <c r="H439" s="122" t="s">
        <v>943</v>
      </c>
      <c r="I439" s="123">
        <f>I440</f>
        <v>320</v>
      </c>
      <c r="J439" s="123">
        <f t="shared" ref="J439:L439" si="122">J440</f>
        <v>282.42</v>
      </c>
      <c r="K439" s="123">
        <f t="shared" si="122"/>
        <v>282.42</v>
      </c>
      <c r="L439" s="124">
        <f t="shared" si="122"/>
        <v>19</v>
      </c>
      <c r="M439" s="122" t="s">
        <v>943</v>
      </c>
      <c r="N439" s="122" t="s">
        <v>943</v>
      </c>
      <c r="O439" s="125" t="s">
        <v>943</v>
      </c>
      <c r="P439" s="126">
        <v>1540431</v>
      </c>
      <c r="Q439" s="126">
        <f t="shared" ref="Q439:S439" si="123">Q440</f>
        <v>0</v>
      </c>
      <c r="R439" s="126">
        <f t="shared" si="123"/>
        <v>0</v>
      </c>
      <c r="S439" s="126">
        <f t="shared" si="123"/>
        <v>1540431</v>
      </c>
      <c r="T439" s="126">
        <f t="shared" si="101"/>
        <v>4813.8468750000002</v>
      </c>
      <c r="U439" s="126">
        <f>MAX(U440)</f>
        <v>6221.3379687500001</v>
      </c>
    </row>
    <row r="440" spans="1:21" s="67" customFormat="1" ht="61.5" x14ac:dyDescent="0.9">
      <c r="A440" s="67">
        <v>1</v>
      </c>
      <c r="B440" s="118">
        <f>SUBTOTAL(103,$A$16:A440)</f>
        <v>382</v>
      </c>
      <c r="C440" s="115" t="s">
        <v>236</v>
      </c>
      <c r="D440" s="122">
        <v>1975</v>
      </c>
      <c r="E440" s="127"/>
      <c r="F440" s="127" t="s">
        <v>274</v>
      </c>
      <c r="G440" s="122">
        <v>2</v>
      </c>
      <c r="H440" s="122">
        <v>1</v>
      </c>
      <c r="I440" s="126">
        <v>320</v>
      </c>
      <c r="J440" s="126">
        <v>282.42</v>
      </c>
      <c r="K440" s="126">
        <v>282.42</v>
      </c>
      <c r="L440" s="124">
        <v>19</v>
      </c>
      <c r="M440" s="122" t="s">
        <v>272</v>
      </c>
      <c r="N440" s="122" t="s">
        <v>276</v>
      </c>
      <c r="O440" s="125" t="s">
        <v>751</v>
      </c>
      <c r="P440" s="126">
        <v>1540431</v>
      </c>
      <c r="Q440" s="126">
        <v>0</v>
      </c>
      <c r="R440" s="126">
        <v>0</v>
      </c>
      <c r="S440" s="126">
        <f>P440-Q440-R440</f>
        <v>1540431</v>
      </c>
      <c r="T440" s="126">
        <f t="shared" si="101"/>
        <v>4813.8468750000002</v>
      </c>
      <c r="U440" s="126">
        <v>6221.3379687500001</v>
      </c>
    </row>
    <row r="441" spans="1:21" s="67" customFormat="1" ht="61.5" x14ac:dyDescent="0.9">
      <c r="B441" s="115" t="s">
        <v>1386</v>
      </c>
      <c r="C441" s="115"/>
      <c r="D441" s="122" t="s">
        <v>943</v>
      </c>
      <c r="E441" s="122" t="s">
        <v>943</v>
      </c>
      <c r="F441" s="122" t="s">
        <v>943</v>
      </c>
      <c r="G441" s="122" t="s">
        <v>943</v>
      </c>
      <c r="H441" s="122" t="s">
        <v>943</v>
      </c>
      <c r="I441" s="123">
        <f>I442</f>
        <v>953.9</v>
      </c>
      <c r="J441" s="123">
        <f t="shared" ref="J441:L441" si="124">J442</f>
        <v>857.7</v>
      </c>
      <c r="K441" s="123">
        <f t="shared" si="124"/>
        <v>857.7</v>
      </c>
      <c r="L441" s="124">
        <f t="shared" si="124"/>
        <v>28</v>
      </c>
      <c r="M441" s="122" t="s">
        <v>943</v>
      </c>
      <c r="N441" s="122" t="s">
        <v>943</v>
      </c>
      <c r="O441" s="125" t="s">
        <v>943</v>
      </c>
      <c r="P441" s="126">
        <v>4609049.76</v>
      </c>
      <c r="Q441" s="126">
        <f t="shared" ref="Q441:S441" si="125">Q442</f>
        <v>0</v>
      </c>
      <c r="R441" s="126">
        <f t="shared" si="125"/>
        <v>0</v>
      </c>
      <c r="S441" s="126">
        <f t="shared" si="125"/>
        <v>4609049.76</v>
      </c>
      <c r="T441" s="126">
        <f t="shared" si="101"/>
        <v>4831.7955341230736</v>
      </c>
      <c r="U441" s="126">
        <f>MAX(U442)</f>
        <v>6296.4957542719358</v>
      </c>
    </row>
    <row r="442" spans="1:21" s="67" customFormat="1" ht="61.5" x14ac:dyDescent="0.9">
      <c r="A442" s="67">
        <v>1</v>
      </c>
      <c r="B442" s="118">
        <f>SUBTOTAL(103,$A$16:A442)</f>
        <v>383</v>
      </c>
      <c r="C442" s="115" t="s">
        <v>1387</v>
      </c>
      <c r="D442" s="122">
        <v>1984</v>
      </c>
      <c r="E442" s="127"/>
      <c r="F442" s="127" t="s">
        <v>274</v>
      </c>
      <c r="G442" s="122">
        <v>2</v>
      </c>
      <c r="H442" s="122">
        <v>3</v>
      </c>
      <c r="I442" s="126">
        <v>953.9</v>
      </c>
      <c r="J442" s="126">
        <v>857.7</v>
      </c>
      <c r="K442" s="126">
        <v>857.7</v>
      </c>
      <c r="L442" s="124">
        <v>28</v>
      </c>
      <c r="M442" s="122" t="s">
        <v>272</v>
      </c>
      <c r="N442" s="122" t="s">
        <v>273</v>
      </c>
      <c r="O442" s="125" t="s">
        <v>275</v>
      </c>
      <c r="P442" s="126">
        <v>4609049.76</v>
      </c>
      <c r="Q442" s="126">
        <v>0</v>
      </c>
      <c r="R442" s="126">
        <v>0</v>
      </c>
      <c r="S442" s="126">
        <f>P442-Q442-R442</f>
        <v>4609049.76</v>
      </c>
      <c r="T442" s="126">
        <f t="shared" si="101"/>
        <v>4831.7955341230736</v>
      </c>
      <c r="U442" s="126">
        <v>6296.4957542719358</v>
      </c>
    </row>
    <row r="443" spans="1:21" s="67" customFormat="1" ht="61.5" x14ac:dyDescent="0.9">
      <c r="B443" s="115" t="s">
        <v>901</v>
      </c>
      <c r="C443" s="119"/>
      <c r="D443" s="122" t="s">
        <v>943</v>
      </c>
      <c r="E443" s="122" t="s">
        <v>943</v>
      </c>
      <c r="F443" s="122" t="s">
        <v>943</v>
      </c>
      <c r="G443" s="122" t="s">
        <v>943</v>
      </c>
      <c r="H443" s="122" t="s">
        <v>943</v>
      </c>
      <c r="I443" s="123">
        <f>I444</f>
        <v>1446.38</v>
      </c>
      <c r="J443" s="123">
        <f t="shared" ref="J443:L443" si="126">J444</f>
        <v>996.18</v>
      </c>
      <c r="K443" s="123">
        <f t="shared" si="126"/>
        <v>229.3</v>
      </c>
      <c r="L443" s="124">
        <f t="shared" si="126"/>
        <v>93</v>
      </c>
      <c r="M443" s="122" t="s">
        <v>943</v>
      </c>
      <c r="N443" s="122" t="s">
        <v>943</v>
      </c>
      <c r="O443" s="125" t="s">
        <v>943</v>
      </c>
      <c r="P443" s="126">
        <v>5368567.4000000004</v>
      </c>
      <c r="Q443" s="126">
        <f t="shared" ref="Q443:S443" si="127">Q444</f>
        <v>0</v>
      </c>
      <c r="R443" s="126">
        <f t="shared" si="127"/>
        <v>0</v>
      </c>
      <c r="S443" s="126">
        <f t="shared" si="127"/>
        <v>5368567.4000000004</v>
      </c>
      <c r="T443" s="126">
        <f t="shared" si="101"/>
        <v>3711.7267937886309</v>
      </c>
      <c r="U443" s="126">
        <f>MAX(U444)</f>
        <v>4572.5180104813389</v>
      </c>
    </row>
    <row r="444" spans="1:21" s="67" customFormat="1" ht="61.5" x14ac:dyDescent="0.9">
      <c r="A444" s="67">
        <v>1</v>
      </c>
      <c r="B444" s="118">
        <f>SUBTOTAL(103,$A$16:A444)</f>
        <v>384</v>
      </c>
      <c r="C444" s="115" t="s">
        <v>142</v>
      </c>
      <c r="D444" s="122">
        <v>1983</v>
      </c>
      <c r="E444" s="127"/>
      <c r="F444" s="127" t="s">
        <v>274</v>
      </c>
      <c r="G444" s="122">
        <v>2</v>
      </c>
      <c r="H444" s="122">
        <v>1</v>
      </c>
      <c r="I444" s="126">
        <v>1446.38</v>
      </c>
      <c r="J444" s="126">
        <v>996.18</v>
      </c>
      <c r="K444" s="126">
        <v>229.3</v>
      </c>
      <c r="L444" s="124">
        <v>93</v>
      </c>
      <c r="M444" s="122" t="s">
        <v>272</v>
      </c>
      <c r="N444" s="122" t="s">
        <v>276</v>
      </c>
      <c r="O444" s="125" t="s">
        <v>1064</v>
      </c>
      <c r="P444" s="126">
        <v>5368567.4000000004</v>
      </c>
      <c r="Q444" s="126">
        <v>0</v>
      </c>
      <c r="R444" s="126">
        <v>0</v>
      </c>
      <c r="S444" s="126">
        <f>P444-Q444-R444</f>
        <v>5368567.4000000004</v>
      </c>
      <c r="T444" s="126">
        <f t="shared" si="101"/>
        <v>3711.7267937886309</v>
      </c>
      <c r="U444" s="126">
        <v>4572.5180104813389</v>
      </c>
    </row>
    <row r="445" spans="1:21" s="67" customFormat="1" ht="61.5" x14ac:dyDescent="0.9">
      <c r="B445" s="115" t="s">
        <v>902</v>
      </c>
      <c r="C445" s="115"/>
      <c r="D445" s="122" t="s">
        <v>943</v>
      </c>
      <c r="E445" s="122" t="s">
        <v>943</v>
      </c>
      <c r="F445" s="122" t="s">
        <v>943</v>
      </c>
      <c r="G445" s="122" t="s">
        <v>943</v>
      </c>
      <c r="H445" s="122" t="s">
        <v>943</v>
      </c>
      <c r="I445" s="123">
        <f>I446</f>
        <v>676.3</v>
      </c>
      <c r="J445" s="123">
        <f t="shared" ref="J445:L445" si="128">J446</f>
        <v>631.49</v>
      </c>
      <c r="K445" s="123">
        <f t="shared" si="128"/>
        <v>546.79</v>
      </c>
      <c r="L445" s="124">
        <f t="shared" si="128"/>
        <v>33</v>
      </c>
      <c r="M445" s="122" t="s">
        <v>943</v>
      </c>
      <c r="N445" s="122" t="s">
        <v>943</v>
      </c>
      <c r="O445" s="125" t="s">
        <v>943</v>
      </c>
      <c r="P445" s="126">
        <v>2682382.0500000003</v>
      </c>
      <c r="Q445" s="126">
        <f t="shared" ref="Q445:S445" si="129">Q446</f>
        <v>0</v>
      </c>
      <c r="R445" s="126">
        <f t="shared" si="129"/>
        <v>0</v>
      </c>
      <c r="S445" s="126">
        <f t="shared" si="129"/>
        <v>2682382.0500000003</v>
      </c>
      <c r="T445" s="126">
        <f t="shared" si="101"/>
        <v>3966.2606091971024</v>
      </c>
      <c r="U445" s="126">
        <f>MAX(U446)</f>
        <v>6277.5483619578781</v>
      </c>
    </row>
    <row r="446" spans="1:21" s="67" customFormat="1" ht="61.5" x14ac:dyDescent="0.9">
      <c r="A446" s="67">
        <v>1</v>
      </c>
      <c r="B446" s="118">
        <f>SUBTOTAL(103,$A$16:A446)</f>
        <v>385</v>
      </c>
      <c r="C446" s="115" t="s">
        <v>147</v>
      </c>
      <c r="D446" s="122">
        <v>1965</v>
      </c>
      <c r="E446" s="127"/>
      <c r="F446" s="127" t="s">
        <v>274</v>
      </c>
      <c r="G446" s="122">
        <v>2</v>
      </c>
      <c r="H446" s="122">
        <v>2</v>
      </c>
      <c r="I446" s="126">
        <v>676.3</v>
      </c>
      <c r="J446" s="126">
        <v>631.49</v>
      </c>
      <c r="K446" s="126">
        <v>546.79</v>
      </c>
      <c r="L446" s="124">
        <v>33</v>
      </c>
      <c r="M446" s="122" t="s">
        <v>272</v>
      </c>
      <c r="N446" s="122" t="s">
        <v>276</v>
      </c>
      <c r="O446" s="125" t="s">
        <v>296</v>
      </c>
      <c r="P446" s="126">
        <v>2682382.0500000003</v>
      </c>
      <c r="Q446" s="126">
        <v>0</v>
      </c>
      <c r="R446" s="126">
        <v>0</v>
      </c>
      <c r="S446" s="126">
        <f>P446-Q446-R446</f>
        <v>2682382.0500000003</v>
      </c>
      <c r="T446" s="126">
        <f t="shared" si="101"/>
        <v>3966.2606091971024</v>
      </c>
      <c r="U446" s="126">
        <v>6277.5483619578781</v>
      </c>
    </row>
    <row r="447" spans="1:21" s="67" customFormat="1" ht="61.5" x14ac:dyDescent="0.9">
      <c r="B447" s="115" t="s">
        <v>903</v>
      </c>
      <c r="C447" s="115"/>
      <c r="D447" s="122" t="s">
        <v>943</v>
      </c>
      <c r="E447" s="122" t="s">
        <v>943</v>
      </c>
      <c r="F447" s="122" t="s">
        <v>943</v>
      </c>
      <c r="G447" s="122" t="s">
        <v>943</v>
      </c>
      <c r="H447" s="122" t="s">
        <v>943</v>
      </c>
      <c r="I447" s="123">
        <f>SUM(I448:I453)</f>
        <v>3562.6800000000003</v>
      </c>
      <c r="J447" s="123">
        <f t="shared" ref="J447:L447" si="130">SUM(J448:J453)</f>
        <v>3151.2</v>
      </c>
      <c r="K447" s="123">
        <f t="shared" si="130"/>
        <v>3042.7</v>
      </c>
      <c r="L447" s="124">
        <f t="shared" si="130"/>
        <v>153</v>
      </c>
      <c r="M447" s="122" t="s">
        <v>943</v>
      </c>
      <c r="N447" s="122" t="s">
        <v>943</v>
      </c>
      <c r="O447" s="125" t="s">
        <v>943</v>
      </c>
      <c r="P447" s="126">
        <v>10870670.800000001</v>
      </c>
      <c r="Q447" s="126">
        <f t="shared" ref="Q447:S447" si="131">SUM(Q448:Q453)</f>
        <v>0</v>
      </c>
      <c r="R447" s="126">
        <f t="shared" si="131"/>
        <v>0</v>
      </c>
      <c r="S447" s="126">
        <f t="shared" si="131"/>
        <v>10870670.800000001</v>
      </c>
      <c r="T447" s="126">
        <f t="shared" si="101"/>
        <v>3051.2621958750155</v>
      </c>
      <c r="U447" s="126">
        <f>MAX(U448:U453)</f>
        <v>7981.6565201910544</v>
      </c>
    </row>
    <row r="448" spans="1:21" s="67" customFormat="1" ht="61.5" x14ac:dyDescent="0.9">
      <c r="A448" s="67">
        <v>1</v>
      </c>
      <c r="B448" s="118">
        <f>SUBTOTAL(103,$A$16:A448)</f>
        <v>386</v>
      </c>
      <c r="C448" s="115" t="s">
        <v>145</v>
      </c>
      <c r="D448" s="122">
        <v>1983</v>
      </c>
      <c r="E448" s="127"/>
      <c r="F448" s="127" t="s">
        <v>274</v>
      </c>
      <c r="G448" s="122">
        <v>3</v>
      </c>
      <c r="H448" s="122">
        <v>2</v>
      </c>
      <c r="I448" s="126">
        <v>1387.1</v>
      </c>
      <c r="J448" s="126">
        <v>1285.0999999999999</v>
      </c>
      <c r="K448" s="126">
        <v>1285.0999999999999</v>
      </c>
      <c r="L448" s="124">
        <v>57</v>
      </c>
      <c r="M448" s="122" t="s">
        <v>272</v>
      </c>
      <c r="N448" s="122" t="s">
        <v>276</v>
      </c>
      <c r="O448" s="125" t="s">
        <v>297</v>
      </c>
      <c r="P448" s="126">
        <v>3933165.34</v>
      </c>
      <c r="Q448" s="126">
        <v>0</v>
      </c>
      <c r="R448" s="126">
        <v>0</v>
      </c>
      <c r="S448" s="126">
        <f t="shared" ref="S448:S453" si="132">P448-Q448-R448</f>
        <v>3933165.34</v>
      </c>
      <c r="T448" s="126">
        <f t="shared" si="101"/>
        <v>2835.5312089971885</v>
      </c>
      <c r="U448" s="126">
        <v>2835.5312089971885</v>
      </c>
    </row>
    <row r="449" spans="1:21" s="67" customFormat="1" ht="61.5" x14ac:dyDescent="0.9">
      <c r="A449" s="67">
        <v>1</v>
      </c>
      <c r="B449" s="118">
        <f>SUBTOTAL(103,$A$16:A449)</f>
        <v>387</v>
      </c>
      <c r="C449" s="115" t="s">
        <v>146</v>
      </c>
      <c r="D449" s="122">
        <v>1964</v>
      </c>
      <c r="E449" s="127"/>
      <c r="F449" s="127" t="s">
        <v>274</v>
      </c>
      <c r="G449" s="122">
        <v>2</v>
      </c>
      <c r="H449" s="122">
        <v>1</v>
      </c>
      <c r="I449" s="126">
        <v>337.2</v>
      </c>
      <c r="J449" s="126">
        <v>313.2</v>
      </c>
      <c r="K449" s="126">
        <v>313.2</v>
      </c>
      <c r="L449" s="124">
        <v>19</v>
      </c>
      <c r="M449" s="122" t="s">
        <v>272</v>
      </c>
      <c r="N449" s="122" t="s">
        <v>276</v>
      </c>
      <c r="O449" s="125" t="s">
        <v>297</v>
      </c>
      <c r="P449" s="126">
        <v>1510400.1400000001</v>
      </c>
      <c r="Q449" s="126">
        <v>0</v>
      </c>
      <c r="R449" s="126">
        <v>0</v>
      </c>
      <c r="S449" s="126">
        <f t="shared" si="132"/>
        <v>1510400.1400000001</v>
      </c>
      <c r="T449" s="126">
        <f t="shared" si="101"/>
        <v>4479.2412218268091</v>
      </c>
      <c r="U449" s="126">
        <v>6312.2745492289432</v>
      </c>
    </row>
    <row r="450" spans="1:21" s="67" customFormat="1" ht="61.5" x14ac:dyDescent="0.9">
      <c r="A450" s="67">
        <v>1</v>
      </c>
      <c r="B450" s="118">
        <f>SUBTOTAL(103,$A$16:A450)</f>
        <v>388</v>
      </c>
      <c r="C450" s="115" t="s">
        <v>1354</v>
      </c>
      <c r="D450" s="122">
        <v>1961</v>
      </c>
      <c r="E450" s="127"/>
      <c r="F450" s="127" t="s">
        <v>274</v>
      </c>
      <c r="G450" s="122">
        <v>2</v>
      </c>
      <c r="H450" s="122">
        <v>2</v>
      </c>
      <c r="I450" s="126">
        <v>147.1</v>
      </c>
      <c r="J450" s="126">
        <v>147.1</v>
      </c>
      <c r="K450" s="126">
        <v>87.4</v>
      </c>
      <c r="L450" s="124">
        <v>12</v>
      </c>
      <c r="M450" s="122" t="s">
        <v>272</v>
      </c>
      <c r="N450" s="122" t="s">
        <v>276</v>
      </c>
      <c r="O450" s="125" t="s">
        <v>297</v>
      </c>
      <c r="P450" s="126">
        <v>799808.07000000007</v>
      </c>
      <c r="Q450" s="126">
        <v>0</v>
      </c>
      <c r="R450" s="126">
        <v>0</v>
      </c>
      <c r="S450" s="126">
        <f t="shared" si="132"/>
        <v>799808.07000000007</v>
      </c>
      <c r="T450" s="126">
        <f t="shared" si="101"/>
        <v>5437.1724677090424</v>
      </c>
      <c r="U450" s="126">
        <v>6921.98668660775</v>
      </c>
    </row>
    <row r="451" spans="1:21" s="67" customFormat="1" ht="61.5" x14ac:dyDescent="0.9">
      <c r="A451" s="67">
        <v>1</v>
      </c>
      <c r="B451" s="118">
        <f>SUBTOTAL(103,$A$16:A451)</f>
        <v>389</v>
      </c>
      <c r="C451" s="115" t="s">
        <v>1355</v>
      </c>
      <c r="D451" s="122">
        <v>1962</v>
      </c>
      <c r="E451" s="127"/>
      <c r="F451" s="127" t="s">
        <v>274</v>
      </c>
      <c r="G451" s="122">
        <v>2</v>
      </c>
      <c r="H451" s="122">
        <v>1</v>
      </c>
      <c r="I451" s="126">
        <v>658.78</v>
      </c>
      <c r="J451" s="126">
        <v>373.3</v>
      </c>
      <c r="K451" s="126">
        <v>373.3</v>
      </c>
      <c r="L451" s="124">
        <v>21</v>
      </c>
      <c r="M451" s="122" t="s">
        <v>272</v>
      </c>
      <c r="N451" s="122" t="s">
        <v>273</v>
      </c>
      <c r="O451" s="125" t="s">
        <v>275</v>
      </c>
      <c r="P451" s="126">
        <v>586534.1</v>
      </c>
      <c r="Q451" s="126">
        <v>0</v>
      </c>
      <c r="R451" s="126">
        <v>0</v>
      </c>
      <c r="S451" s="126">
        <f t="shared" si="132"/>
        <v>586534.1</v>
      </c>
      <c r="T451" s="126">
        <f t="shared" si="101"/>
        <v>890.33379884028056</v>
      </c>
      <c r="U451" s="126">
        <v>2753.19</v>
      </c>
    </row>
    <row r="452" spans="1:21" s="67" customFormat="1" ht="61.5" x14ac:dyDescent="0.9">
      <c r="A452" s="67">
        <v>1</v>
      </c>
      <c r="B452" s="118">
        <f>SUBTOTAL(103,$A$16:A452)</f>
        <v>390</v>
      </c>
      <c r="C452" s="115" t="s">
        <v>1356</v>
      </c>
      <c r="D452" s="122">
        <v>1961</v>
      </c>
      <c r="E452" s="127"/>
      <c r="F452" s="127" t="s">
        <v>274</v>
      </c>
      <c r="G452" s="122">
        <v>2</v>
      </c>
      <c r="H452" s="122">
        <v>1</v>
      </c>
      <c r="I452" s="126">
        <v>230.3</v>
      </c>
      <c r="J452" s="126">
        <v>230.3</v>
      </c>
      <c r="K452" s="126">
        <v>181.5</v>
      </c>
      <c r="L452" s="124">
        <v>8</v>
      </c>
      <c r="M452" s="122" t="s">
        <v>272</v>
      </c>
      <c r="N452" s="122" t="s">
        <v>276</v>
      </c>
      <c r="O452" s="125" t="s">
        <v>297</v>
      </c>
      <c r="P452" s="126">
        <v>1517864.1500000001</v>
      </c>
      <c r="Q452" s="126">
        <v>0</v>
      </c>
      <c r="R452" s="126">
        <v>0</v>
      </c>
      <c r="S452" s="126">
        <f t="shared" si="132"/>
        <v>1517864.1500000001</v>
      </c>
      <c r="T452" s="126">
        <f t="shared" si="101"/>
        <v>6590.812635692575</v>
      </c>
      <c r="U452" s="126">
        <v>7981.6565201910544</v>
      </c>
    </row>
    <row r="453" spans="1:21" s="67" customFormat="1" ht="61.5" x14ac:dyDescent="0.9">
      <c r="A453" s="67">
        <v>1</v>
      </c>
      <c r="B453" s="118">
        <f>SUBTOTAL(103,$A$16:A453)</f>
        <v>391</v>
      </c>
      <c r="C453" s="115" t="s">
        <v>1394</v>
      </c>
      <c r="D453" s="122">
        <v>1974</v>
      </c>
      <c r="E453" s="127"/>
      <c r="F453" s="127" t="s">
        <v>274</v>
      </c>
      <c r="G453" s="122">
        <v>2</v>
      </c>
      <c r="H453" s="122">
        <v>2</v>
      </c>
      <c r="I453" s="126">
        <v>802.2</v>
      </c>
      <c r="J453" s="126">
        <v>802.2</v>
      </c>
      <c r="K453" s="126">
        <v>802.2</v>
      </c>
      <c r="L453" s="124">
        <v>36</v>
      </c>
      <c r="M453" s="122" t="s">
        <v>272</v>
      </c>
      <c r="N453" s="122" t="s">
        <v>273</v>
      </c>
      <c r="O453" s="125" t="s">
        <v>275</v>
      </c>
      <c r="P453" s="126">
        <v>2522899</v>
      </c>
      <c r="Q453" s="126">
        <v>0</v>
      </c>
      <c r="R453" s="126">
        <v>0</v>
      </c>
      <c r="S453" s="126">
        <f t="shared" si="132"/>
        <v>2522899</v>
      </c>
      <c r="T453" s="126">
        <f t="shared" si="101"/>
        <v>3144.9750685614558</v>
      </c>
      <c r="U453" s="126">
        <v>5020.6264971328837</v>
      </c>
    </row>
    <row r="454" spans="1:21" s="67" customFormat="1" ht="61.5" x14ac:dyDescent="0.9">
      <c r="B454" s="115" t="s">
        <v>904</v>
      </c>
      <c r="C454" s="115"/>
      <c r="D454" s="122" t="s">
        <v>943</v>
      </c>
      <c r="E454" s="122" t="s">
        <v>943</v>
      </c>
      <c r="F454" s="122" t="s">
        <v>943</v>
      </c>
      <c r="G454" s="122" t="s">
        <v>943</v>
      </c>
      <c r="H454" s="122" t="s">
        <v>943</v>
      </c>
      <c r="I454" s="123">
        <f>SUM(I455:I462)</f>
        <v>29167.26</v>
      </c>
      <c r="J454" s="123">
        <f t="shared" ref="J454:L454" si="133">SUM(J455:J462)</f>
        <v>14639.12</v>
      </c>
      <c r="K454" s="123">
        <f t="shared" si="133"/>
        <v>5747.7800000000007</v>
      </c>
      <c r="L454" s="124">
        <f t="shared" si="133"/>
        <v>1018</v>
      </c>
      <c r="M454" s="122" t="s">
        <v>943</v>
      </c>
      <c r="N454" s="122" t="s">
        <v>943</v>
      </c>
      <c r="O454" s="125" t="s">
        <v>943</v>
      </c>
      <c r="P454" s="126">
        <v>27720330.040000003</v>
      </c>
      <c r="Q454" s="126">
        <f t="shared" ref="Q454:S454" si="134">SUM(Q455:Q462)</f>
        <v>0</v>
      </c>
      <c r="R454" s="126">
        <f t="shared" si="134"/>
        <v>0</v>
      </c>
      <c r="S454" s="126">
        <f t="shared" si="134"/>
        <v>27720330.040000003</v>
      </c>
      <c r="T454" s="126">
        <f t="shared" si="101"/>
        <v>950.3919819688241</v>
      </c>
      <c r="U454" s="126">
        <f>MAX(U455:U462)</f>
        <v>6407.6088550541517</v>
      </c>
    </row>
    <row r="455" spans="1:21" s="67" customFormat="1" ht="61.5" x14ac:dyDescent="0.9">
      <c r="A455" s="67">
        <v>1</v>
      </c>
      <c r="B455" s="118">
        <f>SUBTOTAL(103,$A$16:A455)</f>
        <v>392</v>
      </c>
      <c r="C455" s="115" t="s">
        <v>148</v>
      </c>
      <c r="D455" s="122">
        <v>1976</v>
      </c>
      <c r="E455" s="127"/>
      <c r="F455" s="127" t="s">
        <v>295</v>
      </c>
      <c r="G455" s="122">
        <v>5</v>
      </c>
      <c r="H455" s="122">
        <v>8</v>
      </c>
      <c r="I455" s="126">
        <v>8133.81</v>
      </c>
      <c r="J455" s="126">
        <v>3519.76</v>
      </c>
      <c r="K455" s="126">
        <v>322.68</v>
      </c>
      <c r="L455" s="124">
        <v>200</v>
      </c>
      <c r="M455" s="122" t="s">
        <v>272</v>
      </c>
      <c r="N455" s="122" t="s">
        <v>276</v>
      </c>
      <c r="O455" s="125" t="s">
        <v>298</v>
      </c>
      <c r="P455" s="126">
        <v>6331496.0299999993</v>
      </c>
      <c r="Q455" s="126">
        <v>0</v>
      </c>
      <c r="R455" s="126">
        <v>0</v>
      </c>
      <c r="S455" s="126">
        <f t="shared" ref="S455:S462" si="135">P455-Q455-R455</f>
        <v>6331496.0299999993</v>
      </c>
      <c r="T455" s="126">
        <f t="shared" si="101"/>
        <v>778.41700629840125</v>
      </c>
      <c r="U455" s="126">
        <v>1312.4342077206129</v>
      </c>
    </row>
    <row r="456" spans="1:21" s="67" customFormat="1" ht="61.5" x14ac:dyDescent="0.9">
      <c r="A456" s="67">
        <v>1</v>
      </c>
      <c r="B456" s="118">
        <f>SUBTOTAL(103,$A$16:A456)</f>
        <v>393</v>
      </c>
      <c r="C456" s="115" t="s">
        <v>143</v>
      </c>
      <c r="D456" s="122">
        <v>1969</v>
      </c>
      <c r="E456" s="127"/>
      <c r="F456" s="127" t="s">
        <v>295</v>
      </c>
      <c r="G456" s="122">
        <v>5</v>
      </c>
      <c r="H456" s="122">
        <v>5</v>
      </c>
      <c r="I456" s="126">
        <v>7171.2</v>
      </c>
      <c r="J456" s="126">
        <v>2897.5</v>
      </c>
      <c r="K456" s="126">
        <v>181.3</v>
      </c>
      <c r="L456" s="124">
        <v>156</v>
      </c>
      <c r="M456" s="122" t="s">
        <v>272</v>
      </c>
      <c r="N456" s="122" t="s">
        <v>276</v>
      </c>
      <c r="O456" s="125" t="s">
        <v>298</v>
      </c>
      <c r="P456" s="126">
        <v>4186102.2</v>
      </c>
      <c r="Q456" s="126">
        <v>0</v>
      </c>
      <c r="R456" s="126">
        <v>0</v>
      </c>
      <c r="S456" s="126">
        <f t="shared" si="135"/>
        <v>4186102.2</v>
      </c>
      <c r="T456" s="126">
        <f t="shared" si="101"/>
        <v>583.73803547523426</v>
      </c>
      <c r="U456" s="126">
        <v>1072.8148427041499</v>
      </c>
    </row>
    <row r="457" spans="1:21" s="67" customFormat="1" ht="61.5" x14ac:dyDescent="0.9">
      <c r="A457" s="67">
        <v>1</v>
      </c>
      <c r="B457" s="118">
        <f>SUBTOTAL(103,$A$16:A457)</f>
        <v>394</v>
      </c>
      <c r="C457" s="115" t="s">
        <v>144</v>
      </c>
      <c r="D457" s="122">
        <v>1987</v>
      </c>
      <c r="E457" s="127"/>
      <c r="F457" s="127" t="s">
        <v>295</v>
      </c>
      <c r="G457" s="122">
        <v>5</v>
      </c>
      <c r="H457" s="122">
        <v>7</v>
      </c>
      <c r="I457" s="126">
        <v>7649.2</v>
      </c>
      <c r="J457" s="126">
        <v>3077.1</v>
      </c>
      <c r="K457" s="126">
        <v>260.8</v>
      </c>
      <c r="L457" s="124">
        <v>237</v>
      </c>
      <c r="M457" s="122" t="s">
        <v>272</v>
      </c>
      <c r="N457" s="122" t="s">
        <v>276</v>
      </c>
      <c r="O457" s="125" t="s">
        <v>298</v>
      </c>
      <c r="P457" s="126">
        <v>5823841.1999999993</v>
      </c>
      <c r="Q457" s="126">
        <v>0</v>
      </c>
      <c r="R457" s="126">
        <v>0</v>
      </c>
      <c r="S457" s="126">
        <f t="shared" si="135"/>
        <v>5823841.1999999993</v>
      </c>
      <c r="T457" s="126">
        <f t="shared" si="101"/>
        <v>761.36605135177524</v>
      </c>
      <c r="U457" s="126">
        <v>1283.6857906709199</v>
      </c>
    </row>
    <row r="458" spans="1:21" s="67" customFormat="1" ht="61.5" x14ac:dyDescent="0.9">
      <c r="A458" s="67">
        <v>1</v>
      </c>
      <c r="B458" s="118">
        <f>SUBTOTAL(103,$A$16:A458)</f>
        <v>395</v>
      </c>
      <c r="C458" s="115" t="s">
        <v>1345</v>
      </c>
      <c r="D458" s="122">
        <v>1963</v>
      </c>
      <c r="E458" s="127"/>
      <c r="F458" s="127" t="s">
        <v>274</v>
      </c>
      <c r="G458" s="122">
        <v>2</v>
      </c>
      <c r="H458" s="122">
        <v>2</v>
      </c>
      <c r="I458" s="126">
        <v>626.52</v>
      </c>
      <c r="J458" s="126">
        <v>622.79999999999995</v>
      </c>
      <c r="K458" s="126">
        <v>582.25</v>
      </c>
      <c r="L458" s="124">
        <v>45</v>
      </c>
      <c r="M458" s="122" t="s">
        <v>272</v>
      </c>
      <c r="N458" s="122" t="s">
        <v>276</v>
      </c>
      <c r="O458" s="125" t="s">
        <v>298</v>
      </c>
      <c r="P458" s="126">
        <v>1804087.71</v>
      </c>
      <c r="Q458" s="126">
        <v>0</v>
      </c>
      <c r="R458" s="126">
        <v>0</v>
      </c>
      <c r="S458" s="126">
        <f t="shared" si="135"/>
        <v>1804087.71</v>
      </c>
      <c r="T458" s="126">
        <f t="shared" si="101"/>
        <v>2879.5373012832792</v>
      </c>
      <c r="U458" s="126">
        <v>3697.5499999999997</v>
      </c>
    </row>
    <row r="459" spans="1:21" s="67" customFormat="1" ht="61.5" x14ac:dyDescent="0.9">
      <c r="A459" s="67">
        <v>1</v>
      </c>
      <c r="B459" s="118">
        <f>SUBTOTAL(103,$A$16:A459)</f>
        <v>396</v>
      </c>
      <c r="C459" s="115" t="s">
        <v>1346</v>
      </c>
      <c r="D459" s="122" t="s">
        <v>316</v>
      </c>
      <c r="E459" s="127"/>
      <c r="F459" s="127" t="s">
        <v>274</v>
      </c>
      <c r="G459" s="122" t="s">
        <v>313</v>
      </c>
      <c r="H459" s="122" t="s">
        <v>313</v>
      </c>
      <c r="I459" s="126">
        <v>1132.77</v>
      </c>
      <c r="J459" s="126">
        <v>555.08000000000004</v>
      </c>
      <c r="K459" s="126">
        <v>555.08000000000004</v>
      </c>
      <c r="L459" s="124">
        <v>42</v>
      </c>
      <c r="M459" s="122" t="s">
        <v>272</v>
      </c>
      <c r="N459" s="122" t="s">
        <v>276</v>
      </c>
      <c r="O459" s="125" t="s">
        <v>298</v>
      </c>
      <c r="P459" s="126">
        <v>1623736.5999999999</v>
      </c>
      <c r="Q459" s="126">
        <v>0</v>
      </c>
      <c r="R459" s="126">
        <v>0</v>
      </c>
      <c r="S459" s="126">
        <f t="shared" si="135"/>
        <v>1623736.5999999999</v>
      </c>
      <c r="T459" s="126">
        <f t="shared" si="101"/>
        <v>1433.4212593906971</v>
      </c>
      <c r="U459" s="126">
        <v>3697.5499999999997</v>
      </c>
    </row>
    <row r="460" spans="1:21" s="67" customFormat="1" ht="61.5" x14ac:dyDescent="0.9">
      <c r="A460" s="67">
        <v>1</v>
      </c>
      <c r="B460" s="118">
        <f>SUBTOTAL(103,$A$16:A460)</f>
        <v>397</v>
      </c>
      <c r="C460" s="115" t="s">
        <v>1347</v>
      </c>
      <c r="D460" s="122">
        <v>1964</v>
      </c>
      <c r="E460" s="127"/>
      <c r="F460" s="127" t="s">
        <v>274</v>
      </c>
      <c r="G460" s="122">
        <v>2</v>
      </c>
      <c r="H460" s="122">
        <v>4</v>
      </c>
      <c r="I460" s="126">
        <v>768.3</v>
      </c>
      <c r="J460" s="126">
        <v>281.60000000000002</v>
      </c>
      <c r="K460" s="126">
        <v>253.5</v>
      </c>
      <c r="L460" s="124">
        <v>100</v>
      </c>
      <c r="M460" s="122" t="s">
        <v>272</v>
      </c>
      <c r="N460" s="122" t="s">
        <v>276</v>
      </c>
      <c r="O460" s="125" t="s">
        <v>296</v>
      </c>
      <c r="P460" s="126">
        <v>1225290.95</v>
      </c>
      <c r="Q460" s="126">
        <v>0</v>
      </c>
      <c r="R460" s="126">
        <v>0</v>
      </c>
      <c r="S460" s="126">
        <f t="shared" si="135"/>
        <v>1225290.95</v>
      </c>
      <c r="T460" s="126">
        <f t="shared" si="101"/>
        <v>1594.8079526226734</v>
      </c>
      <c r="U460" s="126">
        <v>2753.19</v>
      </c>
    </row>
    <row r="461" spans="1:21" s="67" customFormat="1" ht="61.5" x14ac:dyDescent="0.9">
      <c r="A461" s="67">
        <v>1</v>
      </c>
      <c r="B461" s="118">
        <f>SUBTOTAL(103,$A$16:A461)</f>
        <v>398</v>
      </c>
      <c r="C461" s="115" t="s">
        <v>1379</v>
      </c>
      <c r="D461" s="122">
        <v>1958</v>
      </c>
      <c r="E461" s="127"/>
      <c r="F461" s="127" t="s">
        <v>274</v>
      </c>
      <c r="G461" s="122">
        <v>2</v>
      </c>
      <c r="H461" s="122">
        <v>2</v>
      </c>
      <c r="I461" s="126">
        <v>554</v>
      </c>
      <c r="J461" s="126">
        <v>554</v>
      </c>
      <c r="K461" s="126">
        <v>521.69000000000005</v>
      </c>
      <c r="L461" s="124">
        <v>30</v>
      </c>
      <c r="M461" s="122" t="s">
        <v>272</v>
      </c>
      <c r="N461" s="122" t="s">
        <v>276</v>
      </c>
      <c r="O461" s="125" t="s">
        <v>296</v>
      </c>
      <c r="P461" s="126">
        <v>2883800.01</v>
      </c>
      <c r="Q461" s="126">
        <v>0</v>
      </c>
      <c r="R461" s="126">
        <v>0</v>
      </c>
      <c r="S461" s="126">
        <f t="shared" si="135"/>
        <v>2883800.01</v>
      </c>
      <c r="T461" s="126">
        <f t="shared" si="101"/>
        <v>5205.4151805054144</v>
      </c>
      <c r="U461" s="126">
        <v>6407.6088550541517</v>
      </c>
    </row>
    <row r="462" spans="1:21" s="67" customFormat="1" ht="61.5" x14ac:dyDescent="0.9">
      <c r="A462" s="67">
        <v>1</v>
      </c>
      <c r="B462" s="118">
        <f>SUBTOTAL(103,$A$16:A462)</f>
        <v>399</v>
      </c>
      <c r="C462" s="115" t="s">
        <v>1380</v>
      </c>
      <c r="D462" s="122">
        <v>1973</v>
      </c>
      <c r="E462" s="127"/>
      <c r="F462" s="127" t="s">
        <v>274</v>
      </c>
      <c r="G462" s="122">
        <v>5</v>
      </c>
      <c r="H462" s="122">
        <v>3</v>
      </c>
      <c r="I462" s="126">
        <v>3131.46</v>
      </c>
      <c r="J462" s="126">
        <v>3131.28</v>
      </c>
      <c r="K462" s="126">
        <v>3070.48</v>
      </c>
      <c r="L462" s="124">
        <v>208</v>
      </c>
      <c r="M462" s="122" t="s">
        <v>272</v>
      </c>
      <c r="N462" s="122" t="s">
        <v>276</v>
      </c>
      <c r="O462" s="125" t="s">
        <v>1461</v>
      </c>
      <c r="P462" s="126">
        <v>3841975.34</v>
      </c>
      <c r="Q462" s="126">
        <v>0</v>
      </c>
      <c r="R462" s="126">
        <v>0</v>
      </c>
      <c r="S462" s="126">
        <f t="shared" si="135"/>
        <v>3841975.34</v>
      </c>
      <c r="T462" s="126">
        <f t="shared" ref="T462:T525" si="136">P462/I462</f>
        <v>1226.8958696582424</v>
      </c>
      <c r="U462" s="126">
        <v>1530.1120563570987</v>
      </c>
    </row>
    <row r="463" spans="1:21" s="67" customFormat="1" ht="61.5" x14ac:dyDescent="0.9">
      <c r="B463" s="115" t="s">
        <v>905</v>
      </c>
      <c r="C463" s="115"/>
      <c r="D463" s="122" t="s">
        <v>943</v>
      </c>
      <c r="E463" s="122" t="s">
        <v>943</v>
      </c>
      <c r="F463" s="122" t="s">
        <v>943</v>
      </c>
      <c r="G463" s="122" t="s">
        <v>943</v>
      </c>
      <c r="H463" s="122" t="s">
        <v>943</v>
      </c>
      <c r="I463" s="123">
        <f>SUM(I464:I471)</f>
        <v>33276.850000000006</v>
      </c>
      <c r="J463" s="123">
        <f t="shared" ref="J463:L463" si="137">SUM(J464:J471)</f>
        <v>22191.000000000004</v>
      </c>
      <c r="K463" s="123">
        <f t="shared" si="137"/>
        <v>19832.54</v>
      </c>
      <c r="L463" s="124">
        <f t="shared" si="137"/>
        <v>1281</v>
      </c>
      <c r="M463" s="122" t="s">
        <v>943</v>
      </c>
      <c r="N463" s="122" t="s">
        <v>943</v>
      </c>
      <c r="O463" s="125" t="s">
        <v>943</v>
      </c>
      <c r="P463" s="126">
        <v>38448201.020000003</v>
      </c>
      <c r="Q463" s="126">
        <f t="shared" ref="Q463:S463" si="138">SUM(Q464:Q471)</f>
        <v>0</v>
      </c>
      <c r="R463" s="126">
        <f t="shared" si="138"/>
        <v>0</v>
      </c>
      <c r="S463" s="126">
        <f t="shared" si="138"/>
        <v>38448201.020000003</v>
      </c>
      <c r="T463" s="126">
        <f t="shared" si="136"/>
        <v>1155.4038624449129</v>
      </c>
      <c r="U463" s="126">
        <f>MAX(U464:U471)</f>
        <v>6399.9054668726394</v>
      </c>
    </row>
    <row r="464" spans="1:21" s="67" customFormat="1" ht="61.5" x14ac:dyDescent="0.9">
      <c r="A464" s="67">
        <v>1</v>
      </c>
      <c r="B464" s="118">
        <f>SUBTOTAL(103,$A$16:A464)</f>
        <v>400</v>
      </c>
      <c r="C464" s="115" t="s">
        <v>139</v>
      </c>
      <c r="D464" s="122">
        <v>1982</v>
      </c>
      <c r="E464" s="127"/>
      <c r="F464" s="127" t="s">
        <v>274</v>
      </c>
      <c r="G464" s="122">
        <v>5</v>
      </c>
      <c r="H464" s="122">
        <v>6</v>
      </c>
      <c r="I464" s="126">
        <v>3868.3</v>
      </c>
      <c r="J464" s="126">
        <v>2289.6</v>
      </c>
      <c r="K464" s="126">
        <v>2289.6</v>
      </c>
      <c r="L464" s="124">
        <v>192</v>
      </c>
      <c r="M464" s="122" t="s">
        <v>272</v>
      </c>
      <c r="N464" s="122" t="s">
        <v>299</v>
      </c>
      <c r="O464" s="125" t="s">
        <v>311</v>
      </c>
      <c r="P464" s="126">
        <v>6331416.2400000002</v>
      </c>
      <c r="Q464" s="126">
        <v>0</v>
      </c>
      <c r="R464" s="126">
        <v>0</v>
      </c>
      <c r="S464" s="126">
        <f t="shared" ref="S464:S471" si="139">P464-Q464-R464</f>
        <v>6331416.2400000002</v>
      </c>
      <c r="T464" s="126">
        <f t="shared" si="136"/>
        <v>1636.7438513041905</v>
      </c>
      <c r="U464" s="126">
        <v>2276.6806736809449</v>
      </c>
    </row>
    <row r="465" spans="1:21" s="67" customFormat="1" ht="61.5" x14ac:dyDescent="0.9">
      <c r="A465" s="67">
        <v>1</v>
      </c>
      <c r="B465" s="118">
        <f>SUBTOTAL(103,$A$16:A465)</f>
        <v>401</v>
      </c>
      <c r="C465" s="115" t="s">
        <v>141</v>
      </c>
      <c r="D465" s="122">
        <v>1964</v>
      </c>
      <c r="E465" s="127"/>
      <c r="F465" s="127" t="s">
        <v>274</v>
      </c>
      <c r="G465" s="122">
        <v>4</v>
      </c>
      <c r="H465" s="122">
        <v>2</v>
      </c>
      <c r="I465" s="126">
        <v>2499.9</v>
      </c>
      <c r="J465" s="126">
        <v>2061.5</v>
      </c>
      <c r="K465" s="126">
        <v>2061.5</v>
      </c>
      <c r="L465" s="124">
        <v>75</v>
      </c>
      <c r="M465" s="122" t="s">
        <v>272</v>
      </c>
      <c r="N465" s="122" t="s">
        <v>299</v>
      </c>
      <c r="O465" s="125" t="s">
        <v>300</v>
      </c>
      <c r="P465" s="126">
        <v>2412628.25</v>
      </c>
      <c r="Q465" s="126">
        <v>0</v>
      </c>
      <c r="R465" s="126">
        <v>0</v>
      </c>
      <c r="S465" s="126">
        <f t="shared" si="139"/>
        <v>2412628.25</v>
      </c>
      <c r="T465" s="126">
        <f t="shared" si="136"/>
        <v>965.08990359614381</v>
      </c>
      <c r="U465" s="126">
        <v>1247.2666095043801</v>
      </c>
    </row>
    <row r="466" spans="1:21" s="67" customFormat="1" ht="61.5" x14ac:dyDescent="0.9">
      <c r="A466" s="67">
        <v>1</v>
      </c>
      <c r="B466" s="118">
        <f>SUBTOTAL(103,$A$16:A466)</f>
        <v>402</v>
      </c>
      <c r="C466" s="115" t="s">
        <v>150</v>
      </c>
      <c r="D466" s="122">
        <v>1972</v>
      </c>
      <c r="E466" s="127"/>
      <c r="F466" s="127" t="s">
        <v>274</v>
      </c>
      <c r="G466" s="122">
        <v>5</v>
      </c>
      <c r="H466" s="122">
        <v>8</v>
      </c>
      <c r="I466" s="126">
        <v>8090.9</v>
      </c>
      <c r="J466" s="126">
        <v>6096.3</v>
      </c>
      <c r="K466" s="126">
        <v>5723.68</v>
      </c>
      <c r="L466" s="124">
        <v>307</v>
      </c>
      <c r="M466" s="122" t="s">
        <v>272</v>
      </c>
      <c r="N466" s="122" t="s">
        <v>276</v>
      </c>
      <c r="O466" s="125" t="s">
        <v>302</v>
      </c>
      <c r="P466" s="126">
        <v>8689284.0800000001</v>
      </c>
      <c r="Q466" s="126">
        <v>0</v>
      </c>
      <c r="R466" s="126">
        <v>0</v>
      </c>
      <c r="S466" s="126">
        <f t="shared" si="139"/>
        <v>8689284.0800000001</v>
      </c>
      <c r="T466" s="126">
        <f t="shared" si="136"/>
        <v>1073.9576660198495</v>
      </c>
      <c r="U466" s="126">
        <v>1387.965544352297</v>
      </c>
    </row>
    <row r="467" spans="1:21" s="67" customFormat="1" ht="61.5" x14ac:dyDescent="0.9">
      <c r="A467" s="67">
        <v>1</v>
      </c>
      <c r="B467" s="118">
        <f>SUBTOTAL(103,$A$16:A467)</f>
        <v>403</v>
      </c>
      <c r="C467" s="115" t="s">
        <v>1351</v>
      </c>
      <c r="D467" s="122">
        <v>1928</v>
      </c>
      <c r="E467" s="127"/>
      <c r="F467" s="127" t="s">
        <v>274</v>
      </c>
      <c r="G467" s="122">
        <v>3</v>
      </c>
      <c r="H467" s="122">
        <v>4</v>
      </c>
      <c r="I467" s="126">
        <v>1165.2</v>
      </c>
      <c r="J467" s="126">
        <v>998.7</v>
      </c>
      <c r="K467" s="126">
        <v>538.29999999999995</v>
      </c>
      <c r="L467" s="124">
        <v>72</v>
      </c>
      <c r="M467" s="122" t="s">
        <v>272</v>
      </c>
      <c r="N467" s="122" t="s">
        <v>276</v>
      </c>
      <c r="O467" s="125" t="s">
        <v>296</v>
      </c>
      <c r="P467" s="126">
        <v>4735462.9799999995</v>
      </c>
      <c r="Q467" s="126">
        <v>0</v>
      </c>
      <c r="R467" s="126">
        <v>0</v>
      </c>
      <c r="S467" s="126">
        <f t="shared" si="139"/>
        <v>4735462.9799999995</v>
      </c>
      <c r="T467" s="126">
        <f t="shared" si="136"/>
        <v>4064.0773944387224</v>
      </c>
      <c r="U467" s="126">
        <v>6399.9054668726394</v>
      </c>
    </row>
    <row r="468" spans="1:21" s="67" customFormat="1" ht="61.5" x14ac:dyDescent="0.9">
      <c r="A468" s="67">
        <v>1</v>
      </c>
      <c r="B468" s="118">
        <f>SUBTOTAL(103,$A$16:A468)</f>
        <v>404</v>
      </c>
      <c r="C468" s="115" t="s">
        <v>1352</v>
      </c>
      <c r="D468" s="122">
        <v>1962</v>
      </c>
      <c r="E468" s="127"/>
      <c r="F468" s="127" t="s">
        <v>274</v>
      </c>
      <c r="G468" s="122">
        <v>3</v>
      </c>
      <c r="H468" s="122">
        <v>3</v>
      </c>
      <c r="I468" s="126">
        <v>1520.41</v>
      </c>
      <c r="J468" s="126">
        <v>903.54</v>
      </c>
      <c r="K468" s="126">
        <v>226.5</v>
      </c>
      <c r="L468" s="124">
        <v>135</v>
      </c>
      <c r="M468" s="122" t="s">
        <v>272</v>
      </c>
      <c r="N468" s="122" t="s">
        <v>276</v>
      </c>
      <c r="O468" s="125" t="s">
        <v>1441</v>
      </c>
      <c r="P468" s="126">
        <v>4455121.7300000004</v>
      </c>
      <c r="Q468" s="126">
        <v>0</v>
      </c>
      <c r="R468" s="126">
        <v>0</v>
      </c>
      <c r="S468" s="126">
        <f t="shared" si="139"/>
        <v>4455121.7300000004</v>
      </c>
      <c r="T468" s="126">
        <f t="shared" si="136"/>
        <v>2930.2107523628497</v>
      </c>
      <c r="U468" s="126">
        <v>3812.8015666826709</v>
      </c>
    </row>
    <row r="469" spans="1:21" s="67" customFormat="1" ht="61.5" x14ac:dyDescent="0.9">
      <c r="A469" s="67">
        <v>1</v>
      </c>
      <c r="B469" s="118">
        <f>SUBTOTAL(103,$A$16:A469)</f>
        <v>405</v>
      </c>
      <c r="C469" s="115" t="s">
        <v>1353</v>
      </c>
      <c r="D469" s="122">
        <v>1970</v>
      </c>
      <c r="E469" s="127"/>
      <c r="F469" s="127" t="s">
        <v>274</v>
      </c>
      <c r="G469" s="122">
        <v>5</v>
      </c>
      <c r="H469" s="122">
        <v>6</v>
      </c>
      <c r="I469" s="126">
        <v>7597.16</v>
      </c>
      <c r="J469" s="126">
        <v>4459.3599999999997</v>
      </c>
      <c r="K469" s="126">
        <v>4120.66</v>
      </c>
      <c r="L469" s="124">
        <v>224</v>
      </c>
      <c r="M469" s="122" t="s">
        <v>272</v>
      </c>
      <c r="N469" s="122" t="s">
        <v>276</v>
      </c>
      <c r="O469" s="125" t="s">
        <v>1442</v>
      </c>
      <c r="P469" s="126">
        <v>7152134.6299999999</v>
      </c>
      <c r="Q469" s="126">
        <v>0</v>
      </c>
      <c r="R469" s="126">
        <v>0</v>
      </c>
      <c r="S469" s="126">
        <f t="shared" si="139"/>
        <v>7152134.6299999999</v>
      </c>
      <c r="T469" s="126">
        <f t="shared" si="136"/>
        <v>941.42214064202938</v>
      </c>
      <c r="U469" s="126">
        <v>1404.1029353337301</v>
      </c>
    </row>
    <row r="470" spans="1:21" s="67" customFormat="1" ht="61.5" x14ac:dyDescent="0.9">
      <c r="A470" s="67">
        <v>1</v>
      </c>
      <c r="B470" s="118">
        <f>SUBTOTAL(103,$A$16:A470)</f>
        <v>406</v>
      </c>
      <c r="C470" s="115" t="s">
        <v>171</v>
      </c>
      <c r="D470" s="122">
        <v>1966</v>
      </c>
      <c r="E470" s="127"/>
      <c r="F470" s="127" t="s">
        <v>274</v>
      </c>
      <c r="G470" s="122">
        <v>4</v>
      </c>
      <c r="H470" s="122">
        <v>2</v>
      </c>
      <c r="I470" s="126">
        <v>1285.3</v>
      </c>
      <c r="J470" s="126">
        <v>836.8</v>
      </c>
      <c r="K470" s="126">
        <v>836.8</v>
      </c>
      <c r="L470" s="124">
        <v>76</v>
      </c>
      <c r="M470" s="122" t="s">
        <v>272</v>
      </c>
      <c r="N470" s="122" t="s">
        <v>299</v>
      </c>
      <c r="O470" s="125" t="s">
        <v>310</v>
      </c>
      <c r="P470" s="126">
        <v>646262.4</v>
      </c>
      <c r="Q470" s="126">
        <v>0</v>
      </c>
      <c r="R470" s="126">
        <v>0</v>
      </c>
      <c r="S470" s="126">
        <f t="shared" si="139"/>
        <v>646262.4</v>
      </c>
      <c r="T470" s="126">
        <f t="shared" si="136"/>
        <v>502.81055006613246</v>
      </c>
      <c r="U470" s="126">
        <v>1280.3575196452191</v>
      </c>
    </row>
    <row r="471" spans="1:21" s="67" customFormat="1" ht="61.5" x14ac:dyDescent="0.9">
      <c r="A471" s="67">
        <v>1</v>
      </c>
      <c r="B471" s="118">
        <f>SUBTOTAL(103,$A$16:A471)</f>
        <v>407</v>
      </c>
      <c r="C471" s="115" t="s">
        <v>1378</v>
      </c>
      <c r="D471" s="122">
        <v>1983</v>
      </c>
      <c r="E471" s="127"/>
      <c r="F471" s="127" t="s">
        <v>274</v>
      </c>
      <c r="G471" s="122">
        <v>5</v>
      </c>
      <c r="H471" s="122">
        <v>6</v>
      </c>
      <c r="I471" s="126">
        <v>7249.68</v>
      </c>
      <c r="J471" s="126">
        <v>4545.2</v>
      </c>
      <c r="K471" s="126">
        <v>4035.5</v>
      </c>
      <c r="L471" s="124">
        <v>200</v>
      </c>
      <c r="M471" s="122" t="s">
        <v>272</v>
      </c>
      <c r="N471" s="122" t="s">
        <v>351</v>
      </c>
      <c r="O471" s="125" t="s">
        <v>1462</v>
      </c>
      <c r="P471" s="126">
        <v>4025890.71</v>
      </c>
      <c r="Q471" s="126">
        <v>0</v>
      </c>
      <c r="R471" s="126">
        <v>0</v>
      </c>
      <c r="S471" s="126">
        <f t="shared" si="139"/>
        <v>4025890.71</v>
      </c>
      <c r="T471" s="126">
        <f t="shared" si="136"/>
        <v>555.31978101102391</v>
      </c>
      <c r="U471" s="126">
        <v>2753.19</v>
      </c>
    </row>
    <row r="472" spans="1:21" s="67" customFormat="1" ht="61.5" x14ac:dyDescent="0.9">
      <c r="B472" s="115" t="s">
        <v>1348</v>
      </c>
      <c r="C472" s="115"/>
      <c r="D472" s="122" t="s">
        <v>943</v>
      </c>
      <c r="E472" s="122" t="s">
        <v>943</v>
      </c>
      <c r="F472" s="122" t="s">
        <v>943</v>
      </c>
      <c r="G472" s="122" t="s">
        <v>943</v>
      </c>
      <c r="H472" s="122" t="s">
        <v>943</v>
      </c>
      <c r="I472" s="123">
        <f>SUM(I473:I474)</f>
        <v>2492.1400000000003</v>
      </c>
      <c r="J472" s="123">
        <f t="shared" ref="J472:L472" si="140">SUM(J473:J474)</f>
        <v>2350.5</v>
      </c>
      <c r="K472" s="123">
        <f t="shared" si="140"/>
        <v>2089</v>
      </c>
      <c r="L472" s="124">
        <f t="shared" si="140"/>
        <v>79</v>
      </c>
      <c r="M472" s="122" t="s">
        <v>943</v>
      </c>
      <c r="N472" s="122" t="s">
        <v>943</v>
      </c>
      <c r="O472" s="125" t="s">
        <v>943</v>
      </c>
      <c r="P472" s="126">
        <v>3578286.6899999995</v>
      </c>
      <c r="Q472" s="126">
        <f t="shared" ref="Q472:S472" si="141">Q473+Q474</f>
        <v>0</v>
      </c>
      <c r="R472" s="126">
        <f t="shared" si="141"/>
        <v>0</v>
      </c>
      <c r="S472" s="126">
        <f t="shared" si="141"/>
        <v>3578286.6899999995</v>
      </c>
      <c r="T472" s="126">
        <f t="shared" si="136"/>
        <v>1435.82892213118</v>
      </c>
      <c r="U472" s="126">
        <f>MAX(U473:U474)</f>
        <v>4379.6322277104091</v>
      </c>
    </row>
    <row r="473" spans="1:21" s="67" customFormat="1" ht="61.5" x14ac:dyDescent="0.9">
      <c r="A473" s="67">
        <v>1</v>
      </c>
      <c r="B473" s="118">
        <f>SUBTOTAL(103,$A$16:A473)</f>
        <v>408</v>
      </c>
      <c r="C473" s="115" t="s">
        <v>1349</v>
      </c>
      <c r="D473" s="122">
        <v>1976</v>
      </c>
      <c r="E473" s="127"/>
      <c r="F473" s="127" t="s">
        <v>274</v>
      </c>
      <c r="G473" s="122">
        <v>2</v>
      </c>
      <c r="H473" s="122">
        <v>1</v>
      </c>
      <c r="I473" s="126">
        <v>720.74</v>
      </c>
      <c r="J473" s="126">
        <v>680.3</v>
      </c>
      <c r="K473" s="126">
        <v>515.4</v>
      </c>
      <c r="L473" s="124">
        <v>19</v>
      </c>
      <c r="M473" s="122" t="s">
        <v>272</v>
      </c>
      <c r="N473" s="122" t="s">
        <v>276</v>
      </c>
      <c r="O473" s="125" t="s">
        <v>296</v>
      </c>
      <c r="P473" s="126">
        <v>1799081.8099999998</v>
      </c>
      <c r="Q473" s="126">
        <v>0</v>
      </c>
      <c r="R473" s="126">
        <v>0</v>
      </c>
      <c r="S473" s="126">
        <f t="shared" ref="S473:S474" si="142">P473-Q473-R473</f>
        <v>1799081.8099999998</v>
      </c>
      <c r="T473" s="126">
        <f t="shared" si="136"/>
        <v>2496.1592391153536</v>
      </c>
      <c r="U473" s="126">
        <v>4379.6322277104091</v>
      </c>
    </row>
    <row r="474" spans="1:21" s="67" customFormat="1" ht="61.5" x14ac:dyDescent="0.9">
      <c r="A474" s="67">
        <v>1</v>
      </c>
      <c r="B474" s="118">
        <f>SUBTOTAL(103,$A$16:A474)</f>
        <v>409</v>
      </c>
      <c r="C474" s="115" t="s">
        <v>1350</v>
      </c>
      <c r="D474" s="122">
        <v>1988</v>
      </c>
      <c r="E474" s="127"/>
      <c r="F474" s="127" t="s">
        <v>295</v>
      </c>
      <c r="G474" s="122">
        <v>5</v>
      </c>
      <c r="H474" s="122">
        <v>2</v>
      </c>
      <c r="I474" s="126">
        <v>1771.4</v>
      </c>
      <c r="J474" s="126">
        <v>1670.2</v>
      </c>
      <c r="K474" s="126">
        <v>1573.6</v>
      </c>
      <c r="L474" s="124">
        <v>60</v>
      </c>
      <c r="M474" s="122" t="s">
        <v>272</v>
      </c>
      <c r="N474" s="122" t="s">
        <v>276</v>
      </c>
      <c r="O474" s="125" t="s">
        <v>296</v>
      </c>
      <c r="P474" s="126">
        <v>1779204.88</v>
      </c>
      <c r="Q474" s="126">
        <v>0</v>
      </c>
      <c r="R474" s="126">
        <v>0</v>
      </c>
      <c r="S474" s="126">
        <f t="shared" si="142"/>
        <v>1779204.88</v>
      </c>
      <c r="T474" s="126">
        <f t="shared" si="136"/>
        <v>1004.4060517105113</v>
      </c>
      <c r="U474" s="126">
        <v>1604.35689194987</v>
      </c>
    </row>
    <row r="475" spans="1:21" s="67" customFormat="1" ht="61.5" x14ac:dyDescent="0.9">
      <c r="B475" s="115" t="s">
        <v>1123</v>
      </c>
      <c r="C475" s="115"/>
      <c r="D475" s="122" t="s">
        <v>943</v>
      </c>
      <c r="E475" s="122" t="s">
        <v>943</v>
      </c>
      <c r="F475" s="122" t="s">
        <v>943</v>
      </c>
      <c r="G475" s="122" t="s">
        <v>943</v>
      </c>
      <c r="H475" s="122" t="s">
        <v>943</v>
      </c>
      <c r="I475" s="123">
        <f>I476</f>
        <v>970.5</v>
      </c>
      <c r="J475" s="123">
        <f t="shared" ref="J475:L475" si="143">J476</f>
        <v>874</v>
      </c>
      <c r="K475" s="123">
        <f t="shared" si="143"/>
        <v>786.4</v>
      </c>
      <c r="L475" s="124">
        <f t="shared" si="143"/>
        <v>38</v>
      </c>
      <c r="M475" s="122" t="s">
        <v>943</v>
      </c>
      <c r="N475" s="122" t="s">
        <v>943</v>
      </c>
      <c r="O475" s="125" t="s">
        <v>943</v>
      </c>
      <c r="P475" s="126">
        <v>467593.97</v>
      </c>
      <c r="Q475" s="126">
        <f t="shared" ref="Q475:S475" si="144">Q476</f>
        <v>0</v>
      </c>
      <c r="R475" s="126">
        <f t="shared" si="144"/>
        <v>0</v>
      </c>
      <c r="S475" s="126">
        <f t="shared" si="144"/>
        <v>467593.97</v>
      </c>
      <c r="T475" s="126">
        <f t="shared" si="136"/>
        <v>481.80728490468829</v>
      </c>
      <c r="U475" s="126">
        <f>MAX(U476)</f>
        <v>926.78337145801129</v>
      </c>
    </row>
    <row r="476" spans="1:21" s="67" customFormat="1" ht="61.5" x14ac:dyDescent="0.9">
      <c r="A476" s="67">
        <v>1</v>
      </c>
      <c r="B476" s="118">
        <f>SUBTOTAL(103,$A$16:A476)</f>
        <v>410</v>
      </c>
      <c r="C476" s="115" t="s">
        <v>1111</v>
      </c>
      <c r="D476" s="122">
        <v>1974</v>
      </c>
      <c r="E476" s="127"/>
      <c r="F476" s="127" t="s">
        <v>274</v>
      </c>
      <c r="G476" s="122">
        <v>2</v>
      </c>
      <c r="H476" s="122">
        <v>3</v>
      </c>
      <c r="I476" s="126">
        <v>970.5</v>
      </c>
      <c r="J476" s="126">
        <v>874</v>
      </c>
      <c r="K476" s="126">
        <f>J476-87.6</f>
        <v>786.4</v>
      </c>
      <c r="L476" s="124">
        <v>38</v>
      </c>
      <c r="M476" s="122" t="s">
        <v>272</v>
      </c>
      <c r="N476" s="122" t="s">
        <v>276</v>
      </c>
      <c r="O476" s="125" t="s">
        <v>302</v>
      </c>
      <c r="P476" s="126">
        <v>467593.97</v>
      </c>
      <c r="Q476" s="126">
        <v>0</v>
      </c>
      <c r="R476" s="126">
        <v>0</v>
      </c>
      <c r="S476" s="126">
        <f>P476-Q476-R476</f>
        <v>467593.97</v>
      </c>
      <c r="T476" s="126">
        <f t="shared" si="136"/>
        <v>481.80728490468829</v>
      </c>
      <c r="U476" s="126">
        <v>926.78337145801129</v>
      </c>
    </row>
    <row r="477" spans="1:21" s="67" customFormat="1" ht="61.5" x14ac:dyDescent="0.9">
      <c r="B477" s="115" t="s">
        <v>906</v>
      </c>
      <c r="C477" s="119"/>
      <c r="D477" s="122" t="s">
        <v>943</v>
      </c>
      <c r="E477" s="122" t="s">
        <v>943</v>
      </c>
      <c r="F477" s="122" t="s">
        <v>943</v>
      </c>
      <c r="G477" s="122" t="s">
        <v>943</v>
      </c>
      <c r="H477" s="122" t="s">
        <v>943</v>
      </c>
      <c r="I477" s="123">
        <f>SUM(I478:I482)</f>
        <v>3040.6</v>
      </c>
      <c r="J477" s="123">
        <f t="shared" ref="J477:L477" si="145">SUM(J478:J482)</f>
        <v>2684.3</v>
      </c>
      <c r="K477" s="123">
        <f t="shared" si="145"/>
        <v>2684.3</v>
      </c>
      <c r="L477" s="124">
        <f t="shared" si="145"/>
        <v>115</v>
      </c>
      <c r="M477" s="122" t="s">
        <v>943</v>
      </c>
      <c r="N477" s="122" t="s">
        <v>943</v>
      </c>
      <c r="O477" s="125" t="s">
        <v>943</v>
      </c>
      <c r="P477" s="126">
        <v>10960961.029999999</v>
      </c>
      <c r="Q477" s="126">
        <f t="shared" ref="Q477:S477" si="146">SUM(Q478:Q482)</f>
        <v>0</v>
      </c>
      <c r="R477" s="126">
        <f t="shared" si="146"/>
        <v>0</v>
      </c>
      <c r="S477" s="126">
        <f t="shared" si="146"/>
        <v>10960961.029999999</v>
      </c>
      <c r="T477" s="126">
        <f t="shared" si="136"/>
        <v>3604.867799118595</v>
      </c>
      <c r="U477" s="126">
        <f>MAX(U478:U482)</f>
        <v>20932.721987814166</v>
      </c>
    </row>
    <row r="478" spans="1:21" s="67" customFormat="1" ht="61.5" x14ac:dyDescent="0.9">
      <c r="A478" s="67">
        <v>1</v>
      </c>
      <c r="B478" s="118">
        <f>SUBTOTAL(103,$A$16:A478)</f>
        <v>411</v>
      </c>
      <c r="C478" s="115" t="s">
        <v>91</v>
      </c>
      <c r="D478" s="122">
        <v>1969</v>
      </c>
      <c r="E478" s="127"/>
      <c r="F478" s="127" t="s">
        <v>274</v>
      </c>
      <c r="G478" s="122">
        <v>2</v>
      </c>
      <c r="H478" s="122">
        <v>2</v>
      </c>
      <c r="I478" s="126">
        <v>773.4</v>
      </c>
      <c r="J478" s="126">
        <v>714.5</v>
      </c>
      <c r="K478" s="126">
        <v>714.5</v>
      </c>
      <c r="L478" s="124">
        <v>37</v>
      </c>
      <c r="M478" s="122" t="s">
        <v>272</v>
      </c>
      <c r="N478" s="122" t="s">
        <v>276</v>
      </c>
      <c r="O478" s="125" t="s">
        <v>288</v>
      </c>
      <c r="P478" s="126">
        <v>2194576.8199999998</v>
      </c>
      <c r="Q478" s="126">
        <v>0</v>
      </c>
      <c r="R478" s="126">
        <v>0</v>
      </c>
      <c r="S478" s="126">
        <f t="shared" ref="S478:S482" si="147">P478-Q478-R478</f>
        <v>2194576.8199999998</v>
      </c>
      <c r="T478" s="126">
        <f t="shared" si="136"/>
        <v>2837.570235324541</v>
      </c>
      <c r="U478" s="126">
        <v>3717.2107835531419</v>
      </c>
    </row>
    <row r="479" spans="1:21" s="67" customFormat="1" ht="61.5" x14ac:dyDescent="0.9">
      <c r="A479" s="67">
        <v>1</v>
      </c>
      <c r="B479" s="118">
        <f>SUBTOTAL(103,$A$16:A479)</f>
        <v>412</v>
      </c>
      <c r="C479" s="115" t="s">
        <v>92</v>
      </c>
      <c r="D479" s="122">
        <v>1960</v>
      </c>
      <c r="E479" s="127"/>
      <c r="F479" s="127" t="s">
        <v>274</v>
      </c>
      <c r="G479" s="122">
        <v>2</v>
      </c>
      <c r="H479" s="122">
        <v>1</v>
      </c>
      <c r="I479" s="126">
        <v>382.2</v>
      </c>
      <c r="J479" s="126">
        <v>358.4</v>
      </c>
      <c r="K479" s="126">
        <v>358.4</v>
      </c>
      <c r="L479" s="124">
        <v>19</v>
      </c>
      <c r="M479" s="122" t="s">
        <v>272</v>
      </c>
      <c r="N479" s="122" t="s">
        <v>276</v>
      </c>
      <c r="O479" s="125" t="s">
        <v>288</v>
      </c>
      <c r="P479" s="126">
        <v>2072678.6099999999</v>
      </c>
      <c r="Q479" s="126">
        <v>0</v>
      </c>
      <c r="R479" s="126">
        <v>0</v>
      </c>
      <c r="S479" s="126">
        <f t="shared" si="147"/>
        <v>2072678.6099999999</v>
      </c>
      <c r="T479" s="126">
        <f t="shared" si="136"/>
        <v>5423.020957613815</v>
      </c>
      <c r="U479" s="126">
        <v>4254.7310570381997</v>
      </c>
    </row>
    <row r="480" spans="1:21" s="67" customFormat="1" ht="61.5" x14ac:dyDescent="0.9">
      <c r="A480" s="67">
        <v>1</v>
      </c>
      <c r="B480" s="118">
        <f>SUBTOTAL(103,$A$16:A480)</f>
        <v>413</v>
      </c>
      <c r="C480" s="115" t="s">
        <v>1357</v>
      </c>
      <c r="D480" s="122">
        <v>1965</v>
      </c>
      <c r="E480" s="127"/>
      <c r="F480" s="127" t="s">
        <v>340</v>
      </c>
      <c r="G480" s="122">
        <v>2</v>
      </c>
      <c r="H480" s="122">
        <v>1</v>
      </c>
      <c r="I480" s="126">
        <v>377</v>
      </c>
      <c r="J480" s="126">
        <v>334</v>
      </c>
      <c r="K480" s="126">
        <v>334</v>
      </c>
      <c r="L480" s="124">
        <v>23</v>
      </c>
      <c r="M480" s="122" t="s">
        <v>272</v>
      </c>
      <c r="N480" s="122" t="s">
        <v>276</v>
      </c>
      <c r="O480" s="125" t="s">
        <v>288</v>
      </c>
      <c r="P480" s="126">
        <v>1001541.0499999999</v>
      </c>
      <c r="Q480" s="126">
        <v>0</v>
      </c>
      <c r="R480" s="126">
        <v>0</v>
      </c>
      <c r="S480" s="126">
        <f t="shared" si="147"/>
        <v>1001541.0499999999</v>
      </c>
      <c r="T480" s="126">
        <f t="shared" si="136"/>
        <v>2656.6075596816972</v>
      </c>
      <c r="U480" s="126">
        <v>8774.2318965517243</v>
      </c>
    </row>
    <row r="481" spans="1:21" s="67" customFormat="1" ht="61.5" x14ac:dyDescent="0.9">
      <c r="A481" s="67">
        <v>1</v>
      </c>
      <c r="B481" s="118">
        <f>SUBTOTAL(103,$A$16:A481)</f>
        <v>414</v>
      </c>
      <c r="C481" s="115" t="s">
        <v>1358</v>
      </c>
      <c r="D481" s="122">
        <v>1917</v>
      </c>
      <c r="E481" s="127"/>
      <c r="F481" s="127" t="s">
        <v>274</v>
      </c>
      <c r="G481" s="122">
        <v>2</v>
      </c>
      <c r="H481" s="122">
        <v>1</v>
      </c>
      <c r="I481" s="126">
        <v>262.60000000000002</v>
      </c>
      <c r="J481" s="126">
        <v>152.19999999999999</v>
      </c>
      <c r="K481" s="126">
        <v>152.19999999999999</v>
      </c>
      <c r="L481" s="124">
        <v>10</v>
      </c>
      <c r="M481" s="122" t="s">
        <v>272</v>
      </c>
      <c r="N481" s="122" t="s">
        <v>273</v>
      </c>
      <c r="O481" s="125" t="s">
        <v>275</v>
      </c>
      <c r="P481" s="126">
        <v>1989348.9700000002</v>
      </c>
      <c r="Q481" s="126">
        <v>0</v>
      </c>
      <c r="R481" s="126">
        <v>0</v>
      </c>
      <c r="S481" s="126">
        <f t="shared" si="147"/>
        <v>1989348.9700000002</v>
      </c>
      <c r="T481" s="126">
        <f t="shared" si="136"/>
        <v>7575.5863290175175</v>
      </c>
      <c r="U481" s="126">
        <v>20932.721987814166</v>
      </c>
    </row>
    <row r="482" spans="1:21" s="67" customFormat="1" ht="61.5" x14ac:dyDescent="0.9">
      <c r="A482" s="67">
        <v>1</v>
      </c>
      <c r="B482" s="118">
        <f>SUBTOTAL(103,$A$16:A482)</f>
        <v>415</v>
      </c>
      <c r="C482" s="115" t="s">
        <v>1359</v>
      </c>
      <c r="D482" s="122">
        <v>1978</v>
      </c>
      <c r="E482" s="127"/>
      <c r="F482" s="127" t="s">
        <v>1447</v>
      </c>
      <c r="G482" s="122">
        <v>2</v>
      </c>
      <c r="H482" s="122">
        <v>4</v>
      </c>
      <c r="I482" s="126">
        <v>1245.4000000000001</v>
      </c>
      <c r="J482" s="126">
        <v>1125.2</v>
      </c>
      <c r="K482" s="126">
        <v>1125.2</v>
      </c>
      <c r="L482" s="124">
        <v>26</v>
      </c>
      <c r="M482" s="122" t="s">
        <v>272</v>
      </c>
      <c r="N482" s="122" t="s">
        <v>276</v>
      </c>
      <c r="O482" s="125" t="s">
        <v>1448</v>
      </c>
      <c r="P482" s="126">
        <v>3702815.58</v>
      </c>
      <c r="Q482" s="126">
        <v>0</v>
      </c>
      <c r="R482" s="126">
        <v>0</v>
      </c>
      <c r="S482" s="126">
        <f t="shared" si="147"/>
        <v>3702815.58</v>
      </c>
      <c r="T482" s="126">
        <f t="shared" si="136"/>
        <v>2973.1938172474706</v>
      </c>
      <c r="U482" s="126">
        <v>5198.7940083507301</v>
      </c>
    </row>
    <row r="483" spans="1:21" s="67" customFormat="1" ht="61.5" x14ac:dyDescent="0.9">
      <c r="B483" s="115" t="s">
        <v>933</v>
      </c>
      <c r="C483" s="115"/>
      <c r="D483" s="122" t="s">
        <v>943</v>
      </c>
      <c r="E483" s="122" t="s">
        <v>943</v>
      </c>
      <c r="F483" s="122" t="s">
        <v>943</v>
      </c>
      <c r="G483" s="122" t="s">
        <v>943</v>
      </c>
      <c r="H483" s="122" t="s">
        <v>943</v>
      </c>
      <c r="I483" s="123">
        <f>I484</f>
        <v>1191.0999999999999</v>
      </c>
      <c r="J483" s="123">
        <f t="shared" ref="J483:L483" si="148">J484</f>
        <v>714.7</v>
      </c>
      <c r="K483" s="123">
        <f t="shared" si="148"/>
        <v>714.7</v>
      </c>
      <c r="L483" s="124">
        <f t="shared" si="148"/>
        <v>31</v>
      </c>
      <c r="M483" s="122" t="s">
        <v>943</v>
      </c>
      <c r="N483" s="122" t="s">
        <v>943</v>
      </c>
      <c r="O483" s="125" t="s">
        <v>943</v>
      </c>
      <c r="P483" s="126">
        <v>3314280.82</v>
      </c>
      <c r="Q483" s="126">
        <f t="shared" ref="Q483:S483" si="149">Q484</f>
        <v>0</v>
      </c>
      <c r="R483" s="126">
        <f t="shared" si="149"/>
        <v>0</v>
      </c>
      <c r="S483" s="126">
        <f t="shared" si="149"/>
        <v>3314280.82</v>
      </c>
      <c r="T483" s="126">
        <f t="shared" si="136"/>
        <v>2782.5378389723787</v>
      </c>
      <c r="U483" s="126">
        <f>MAX(U484)</f>
        <v>3674.8572764671317</v>
      </c>
    </row>
    <row r="484" spans="1:21" s="67" customFormat="1" ht="61.5" x14ac:dyDescent="0.9">
      <c r="A484" s="67">
        <v>1</v>
      </c>
      <c r="B484" s="118">
        <f>SUBTOTAL(103,$A$16:A484)</f>
        <v>416</v>
      </c>
      <c r="C484" s="115" t="s">
        <v>93</v>
      </c>
      <c r="D484" s="122">
        <v>1967</v>
      </c>
      <c r="E484" s="127"/>
      <c r="F484" s="127" t="s">
        <v>274</v>
      </c>
      <c r="G484" s="122">
        <v>2</v>
      </c>
      <c r="H484" s="122">
        <v>2</v>
      </c>
      <c r="I484" s="126">
        <v>1191.0999999999999</v>
      </c>
      <c r="J484" s="126">
        <v>714.7</v>
      </c>
      <c r="K484" s="126">
        <v>714.7</v>
      </c>
      <c r="L484" s="124">
        <v>31</v>
      </c>
      <c r="M484" s="122" t="s">
        <v>272</v>
      </c>
      <c r="N484" s="122" t="s">
        <v>276</v>
      </c>
      <c r="O484" s="125" t="s">
        <v>289</v>
      </c>
      <c r="P484" s="126">
        <v>3314280.82</v>
      </c>
      <c r="Q484" s="126">
        <v>0</v>
      </c>
      <c r="R484" s="126">
        <v>0</v>
      </c>
      <c r="S484" s="126">
        <f>P484-Q484-R484</f>
        <v>3314280.82</v>
      </c>
      <c r="T484" s="126">
        <f t="shared" si="136"/>
        <v>2782.5378389723787</v>
      </c>
      <c r="U484" s="126">
        <v>3674.8572764671317</v>
      </c>
    </row>
    <row r="485" spans="1:21" s="67" customFormat="1" ht="61.5" x14ac:dyDescent="0.9">
      <c r="B485" s="115" t="s">
        <v>907</v>
      </c>
      <c r="C485" s="115"/>
      <c r="D485" s="122" t="s">
        <v>943</v>
      </c>
      <c r="E485" s="122" t="s">
        <v>943</v>
      </c>
      <c r="F485" s="122" t="s">
        <v>943</v>
      </c>
      <c r="G485" s="122" t="s">
        <v>943</v>
      </c>
      <c r="H485" s="122" t="s">
        <v>943</v>
      </c>
      <c r="I485" s="123">
        <f>I486</f>
        <v>706</v>
      </c>
      <c r="J485" s="123">
        <f t="shared" ref="J485:L485" si="150">J486</f>
        <v>627.1</v>
      </c>
      <c r="K485" s="123">
        <f t="shared" si="150"/>
        <v>627.1</v>
      </c>
      <c r="L485" s="124">
        <f t="shared" si="150"/>
        <v>41</v>
      </c>
      <c r="M485" s="122" t="s">
        <v>943</v>
      </c>
      <c r="N485" s="122" t="s">
        <v>943</v>
      </c>
      <c r="O485" s="125" t="s">
        <v>943</v>
      </c>
      <c r="P485" s="126">
        <v>3133080</v>
      </c>
      <c r="Q485" s="126">
        <f t="shared" ref="Q485:S485" si="151">Q486</f>
        <v>0</v>
      </c>
      <c r="R485" s="126">
        <f t="shared" si="151"/>
        <v>0</v>
      </c>
      <c r="S485" s="126">
        <f t="shared" si="151"/>
        <v>3133080</v>
      </c>
      <c r="T485" s="126">
        <f t="shared" si="136"/>
        <v>4437.7903682719543</v>
      </c>
      <c r="U485" s="126">
        <f>MAX(U486)</f>
        <v>5735.3286118980168</v>
      </c>
    </row>
    <row r="486" spans="1:21" s="67" customFormat="1" ht="61.5" x14ac:dyDescent="0.9">
      <c r="A486" s="67">
        <v>1</v>
      </c>
      <c r="B486" s="118">
        <f>SUBTOTAL(103,$A$16:A486)</f>
        <v>417</v>
      </c>
      <c r="C486" s="115" t="s">
        <v>94</v>
      </c>
      <c r="D486" s="122">
        <v>1979</v>
      </c>
      <c r="E486" s="127"/>
      <c r="F486" s="127" t="s">
        <v>274</v>
      </c>
      <c r="G486" s="122">
        <v>2</v>
      </c>
      <c r="H486" s="122">
        <v>2</v>
      </c>
      <c r="I486" s="126">
        <v>706</v>
      </c>
      <c r="J486" s="126">
        <v>627.1</v>
      </c>
      <c r="K486" s="126">
        <v>627.1</v>
      </c>
      <c r="L486" s="124">
        <v>41</v>
      </c>
      <c r="M486" s="122" t="s">
        <v>272</v>
      </c>
      <c r="N486" s="122" t="s">
        <v>276</v>
      </c>
      <c r="O486" s="125" t="s">
        <v>1065</v>
      </c>
      <c r="P486" s="126">
        <v>3133080</v>
      </c>
      <c r="Q486" s="126">
        <v>0</v>
      </c>
      <c r="R486" s="126">
        <v>0</v>
      </c>
      <c r="S486" s="126">
        <f>P486-Q486-R486</f>
        <v>3133080</v>
      </c>
      <c r="T486" s="126">
        <f t="shared" si="136"/>
        <v>4437.7903682719543</v>
      </c>
      <c r="U486" s="126">
        <v>5735.3286118980168</v>
      </c>
    </row>
    <row r="487" spans="1:21" s="67" customFormat="1" ht="61.5" x14ac:dyDescent="0.9">
      <c r="B487" s="115" t="s">
        <v>908</v>
      </c>
      <c r="C487" s="115"/>
      <c r="D487" s="122" t="s">
        <v>943</v>
      </c>
      <c r="E487" s="122" t="s">
        <v>943</v>
      </c>
      <c r="F487" s="122" t="s">
        <v>943</v>
      </c>
      <c r="G487" s="122" t="s">
        <v>943</v>
      </c>
      <c r="H487" s="122" t="s">
        <v>943</v>
      </c>
      <c r="I487" s="123">
        <f>I488</f>
        <v>2004.4</v>
      </c>
      <c r="J487" s="123">
        <f t="shared" ref="J487:L487" si="152">J488</f>
        <v>1886.5</v>
      </c>
      <c r="K487" s="123">
        <f t="shared" si="152"/>
        <v>1886.5</v>
      </c>
      <c r="L487" s="124">
        <f t="shared" si="152"/>
        <v>67</v>
      </c>
      <c r="M487" s="122" t="s">
        <v>943</v>
      </c>
      <c r="N487" s="122" t="s">
        <v>943</v>
      </c>
      <c r="O487" s="125" t="s">
        <v>943</v>
      </c>
      <c r="P487" s="126">
        <v>5968517.3999999994</v>
      </c>
      <c r="Q487" s="126">
        <f t="shared" ref="Q487:S487" si="153">Q488</f>
        <v>0</v>
      </c>
      <c r="R487" s="126">
        <f t="shared" si="153"/>
        <v>0</v>
      </c>
      <c r="S487" s="126">
        <f t="shared" si="153"/>
        <v>5968517.3999999994</v>
      </c>
      <c r="T487" s="126">
        <f t="shared" si="136"/>
        <v>2977.7077429654755</v>
      </c>
      <c r="U487" s="126">
        <f>MAX(U488)</f>
        <v>3848.3414039113945</v>
      </c>
    </row>
    <row r="488" spans="1:21" s="67" customFormat="1" ht="61.5" x14ac:dyDescent="0.9">
      <c r="A488" s="67">
        <v>1</v>
      </c>
      <c r="B488" s="118">
        <f>SUBTOTAL(103,$A$16:A488)</f>
        <v>418</v>
      </c>
      <c r="C488" s="115" t="s">
        <v>95</v>
      </c>
      <c r="D488" s="122">
        <v>1980</v>
      </c>
      <c r="E488" s="127"/>
      <c r="F488" s="127" t="s">
        <v>274</v>
      </c>
      <c r="G488" s="122">
        <v>2</v>
      </c>
      <c r="H488" s="122">
        <v>3</v>
      </c>
      <c r="I488" s="126">
        <v>2004.4</v>
      </c>
      <c r="J488" s="126">
        <v>1886.5</v>
      </c>
      <c r="K488" s="126">
        <v>1886.5</v>
      </c>
      <c r="L488" s="124">
        <v>67</v>
      </c>
      <c r="M488" s="122" t="s">
        <v>272</v>
      </c>
      <c r="N488" s="122" t="s">
        <v>276</v>
      </c>
      <c r="O488" s="125" t="s">
        <v>288</v>
      </c>
      <c r="P488" s="126">
        <v>5968517.3999999994</v>
      </c>
      <c r="Q488" s="126">
        <v>0</v>
      </c>
      <c r="R488" s="126">
        <v>0</v>
      </c>
      <c r="S488" s="126">
        <f>P488-Q488-R488</f>
        <v>5968517.3999999994</v>
      </c>
      <c r="T488" s="126">
        <f t="shared" si="136"/>
        <v>2977.7077429654755</v>
      </c>
      <c r="U488" s="126">
        <v>3848.3414039113945</v>
      </c>
    </row>
    <row r="489" spans="1:21" s="67" customFormat="1" ht="61.5" x14ac:dyDescent="0.9">
      <c r="B489" s="115" t="s">
        <v>909</v>
      </c>
      <c r="C489" s="115"/>
      <c r="D489" s="122" t="s">
        <v>943</v>
      </c>
      <c r="E489" s="122" t="s">
        <v>943</v>
      </c>
      <c r="F489" s="122" t="s">
        <v>943</v>
      </c>
      <c r="G489" s="122" t="s">
        <v>943</v>
      </c>
      <c r="H489" s="122" t="s">
        <v>943</v>
      </c>
      <c r="I489" s="123">
        <f>I490</f>
        <v>702.7</v>
      </c>
      <c r="J489" s="123">
        <f t="shared" ref="J489:L489" si="154">J490</f>
        <v>643.20000000000005</v>
      </c>
      <c r="K489" s="123">
        <f t="shared" si="154"/>
        <v>643.20000000000005</v>
      </c>
      <c r="L489" s="124">
        <f t="shared" si="154"/>
        <v>34</v>
      </c>
      <c r="M489" s="122" t="s">
        <v>943</v>
      </c>
      <c r="N489" s="122" t="s">
        <v>943</v>
      </c>
      <c r="O489" s="125" t="s">
        <v>943</v>
      </c>
      <c r="P489" s="126">
        <v>3253210.4899999998</v>
      </c>
      <c r="Q489" s="126">
        <f t="shared" ref="Q489:S489" si="155">Q490</f>
        <v>0</v>
      </c>
      <c r="R489" s="126">
        <f t="shared" si="155"/>
        <v>0</v>
      </c>
      <c r="S489" s="126">
        <f t="shared" si="155"/>
        <v>3253210.4899999998</v>
      </c>
      <c r="T489" s="126">
        <f t="shared" si="136"/>
        <v>4629.5865803330007</v>
      </c>
      <c r="U489" s="126">
        <f>MAX(U490)</f>
        <v>5762.2627010103879</v>
      </c>
    </row>
    <row r="490" spans="1:21" s="67" customFormat="1" ht="61.5" x14ac:dyDescent="0.9">
      <c r="A490" s="67">
        <v>1</v>
      </c>
      <c r="B490" s="118">
        <f>SUBTOTAL(103,$A$16:A490)</f>
        <v>419</v>
      </c>
      <c r="C490" s="115" t="s">
        <v>96</v>
      </c>
      <c r="D490" s="122">
        <v>1969</v>
      </c>
      <c r="E490" s="127"/>
      <c r="F490" s="127" t="s">
        <v>274</v>
      </c>
      <c r="G490" s="122">
        <v>2</v>
      </c>
      <c r="H490" s="122">
        <v>2</v>
      </c>
      <c r="I490" s="126">
        <v>702.7</v>
      </c>
      <c r="J490" s="126">
        <v>643.20000000000005</v>
      </c>
      <c r="K490" s="126">
        <v>643.20000000000005</v>
      </c>
      <c r="L490" s="124">
        <v>34</v>
      </c>
      <c r="M490" s="122" t="s">
        <v>272</v>
      </c>
      <c r="N490" s="122" t="s">
        <v>276</v>
      </c>
      <c r="O490" s="125" t="s">
        <v>290</v>
      </c>
      <c r="P490" s="126">
        <v>3253210.4899999998</v>
      </c>
      <c r="Q490" s="126">
        <v>0</v>
      </c>
      <c r="R490" s="126">
        <v>0</v>
      </c>
      <c r="S490" s="126">
        <f>P490-Q490-R490</f>
        <v>3253210.4899999998</v>
      </c>
      <c r="T490" s="126">
        <f t="shared" si="136"/>
        <v>4629.5865803330007</v>
      </c>
      <c r="U490" s="126">
        <v>5762.2627010103879</v>
      </c>
    </row>
    <row r="491" spans="1:21" s="67" customFormat="1" ht="61.5" x14ac:dyDescent="0.9">
      <c r="B491" s="115" t="s">
        <v>1360</v>
      </c>
      <c r="C491" s="115"/>
      <c r="D491" s="122" t="s">
        <v>943</v>
      </c>
      <c r="E491" s="122" t="s">
        <v>943</v>
      </c>
      <c r="F491" s="122" t="s">
        <v>943</v>
      </c>
      <c r="G491" s="122" t="s">
        <v>943</v>
      </c>
      <c r="H491" s="122" t="s">
        <v>943</v>
      </c>
      <c r="I491" s="123">
        <f>I492</f>
        <v>853.8</v>
      </c>
      <c r="J491" s="123">
        <f t="shared" ref="J491:L491" si="156">J492</f>
        <v>679.5</v>
      </c>
      <c r="K491" s="123">
        <f t="shared" si="156"/>
        <v>679.5</v>
      </c>
      <c r="L491" s="124">
        <f t="shared" si="156"/>
        <v>38</v>
      </c>
      <c r="M491" s="122" t="s">
        <v>943</v>
      </c>
      <c r="N491" s="122" t="s">
        <v>943</v>
      </c>
      <c r="O491" s="125" t="s">
        <v>943</v>
      </c>
      <c r="P491" s="126">
        <v>2309984.35</v>
      </c>
      <c r="Q491" s="126">
        <f t="shared" ref="Q491:S491" si="157">Q492</f>
        <v>0</v>
      </c>
      <c r="R491" s="126">
        <f t="shared" si="157"/>
        <v>0</v>
      </c>
      <c r="S491" s="126">
        <f t="shared" si="157"/>
        <v>2309984.35</v>
      </c>
      <c r="T491" s="126">
        <f t="shared" si="136"/>
        <v>2705.5333216209888</v>
      </c>
      <c r="U491" s="126">
        <f>MAX(U492)</f>
        <v>3602.64</v>
      </c>
    </row>
    <row r="492" spans="1:21" s="67" customFormat="1" ht="61.5" x14ac:dyDescent="0.9">
      <c r="A492" s="67">
        <v>1</v>
      </c>
      <c r="B492" s="118">
        <f>SUBTOTAL(103,$A$16:A492)</f>
        <v>420</v>
      </c>
      <c r="C492" s="115" t="s">
        <v>1361</v>
      </c>
      <c r="D492" s="122">
        <v>1981</v>
      </c>
      <c r="E492" s="127"/>
      <c r="F492" s="127" t="s">
        <v>346</v>
      </c>
      <c r="G492" s="122">
        <v>2</v>
      </c>
      <c r="H492" s="122">
        <v>3</v>
      </c>
      <c r="I492" s="126">
        <v>853.8</v>
      </c>
      <c r="J492" s="126">
        <v>679.5</v>
      </c>
      <c r="K492" s="126">
        <v>679.5</v>
      </c>
      <c r="L492" s="124">
        <v>38</v>
      </c>
      <c r="M492" s="122" t="s">
        <v>272</v>
      </c>
      <c r="N492" s="122" t="s">
        <v>276</v>
      </c>
      <c r="O492" s="125" t="s">
        <v>1395</v>
      </c>
      <c r="P492" s="126">
        <v>2309984.35</v>
      </c>
      <c r="Q492" s="126">
        <v>0</v>
      </c>
      <c r="R492" s="126">
        <v>0</v>
      </c>
      <c r="S492" s="126">
        <f>P492-Q492-R492</f>
        <v>2309984.35</v>
      </c>
      <c r="T492" s="126">
        <f t="shared" si="136"/>
        <v>2705.5333216209888</v>
      </c>
      <c r="U492" s="126">
        <v>3602.64</v>
      </c>
    </row>
    <row r="493" spans="1:21" s="67" customFormat="1" ht="61.5" x14ac:dyDescent="0.9">
      <c r="B493" s="115" t="s">
        <v>910</v>
      </c>
      <c r="C493" s="119"/>
      <c r="D493" s="122" t="s">
        <v>943</v>
      </c>
      <c r="E493" s="122" t="s">
        <v>943</v>
      </c>
      <c r="F493" s="122" t="s">
        <v>943</v>
      </c>
      <c r="G493" s="122" t="s">
        <v>943</v>
      </c>
      <c r="H493" s="122" t="s">
        <v>943</v>
      </c>
      <c r="I493" s="123">
        <f>SUM(I494:I499)</f>
        <v>3456.2</v>
      </c>
      <c r="J493" s="123">
        <f t="shared" ref="J493:L493" si="158">SUM(J494:J499)</f>
        <v>2841.4</v>
      </c>
      <c r="K493" s="123">
        <f t="shared" si="158"/>
        <v>2822.6</v>
      </c>
      <c r="L493" s="124">
        <f t="shared" si="158"/>
        <v>132</v>
      </c>
      <c r="M493" s="122" t="s">
        <v>943</v>
      </c>
      <c r="N493" s="122" t="s">
        <v>943</v>
      </c>
      <c r="O493" s="125" t="s">
        <v>943</v>
      </c>
      <c r="P493" s="126">
        <v>13199067.600000001</v>
      </c>
      <c r="Q493" s="126">
        <f t="shared" ref="Q493:S493" si="159">SUM(Q494:Q499)</f>
        <v>0</v>
      </c>
      <c r="R493" s="126">
        <f t="shared" si="159"/>
        <v>0</v>
      </c>
      <c r="S493" s="126">
        <f t="shared" si="159"/>
        <v>13199067.600000001</v>
      </c>
      <c r="T493" s="126">
        <f t="shared" si="136"/>
        <v>3818.9536485157114</v>
      </c>
      <c r="U493" s="126">
        <f>MAX(U494:U499)</f>
        <v>6108.1554625199351</v>
      </c>
    </row>
    <row r="494" spans="1:21" s="67" customFormat="1" ht="61.5" x14ac:dyDescent="0.9">
      <c r="A494" s="67">
        <v>1</v>
      </c>
      <c r="B494" s="118">
        <f>SUBTOTAL(103,$A$16:A494)</f>
        <v>421</v>
      </c>
      <c r="C494" s="115" t="s">
        <v>190</v>
      </c>
      <c r="D494" s="122" t="s">
        <v>312</v>
      </c>
      <c r="E494" s="127"/>
      <c r="F494" s="127" t="s">
        <v>274</v>
      </c>
      <c r="G494" s="122" t="s">
        <v>313</v>
      </c>
      <c r="H494" s="122" t="s">
        <v>314</v>
      </c>
      <c r="I494" s="126">
        <v>250.8</v>
      </c>
      <c r="J494" s="126">
        <v>250.8</v>
      </c>
      <c r="K494" s="126">
        <v>250.8</v>
      </c>
      <c r="L494" s="124">
        <v>13</v>
      </c>
      <c r="M494" s="122" t="s">
        <v>272</v>
      </c>
      <c r="N494" s="122" t="s">
        <v>276</v>
      </c>
      <c r="O494" s="125" t="s">
        <v>1066</v>
      </c>
      <c r="P494" s="126">
        <v>1157700</v>
      </c>
      <c r="Q494" s="126">
        <v>0</v>
      </c>
      <c r="R494" s="126">
        <v>0</v>
      </c>
      <c r="S494" s="126">
        <f t="shared" ref="S494:S499" si="160">P494-Q494-R494</f>
        <v>1157700</v>
      </c>
      <c r="T494" s="126">
        <f t="shared" si="136"/>
        <v>4616.0287081339711</v>
      </c>
      <c r="U494" s="126">
        <v>6108.1554625199351</v>
      </c>
    </row>
    <row r="495" spans="1:21" s="67" customFormat="1" ht="61.5" x14ac:dyDescent="0.9">
      <c r="A495" s="67">
        <v>1</v>
      </c>
      <c r="B495" s="118">
        <f>SUBTOTAL(103,$A$16:A495)</f>
        <v>422</v>
      </c>
      <c r="C495" s="115" t="s">
        <v>189</v>
      </c>
      <c r="D495" s="122" t="s">
        <v>312</v>
      </c>
      <c r="E495" s="127"/>
      <c r="F495" s="127" t="s">
        <v>274</v>
      </c>
      <c r="G495" s="122" t="s">
        <v>313</v>
      </c>
      <c r="H495" s="122" t="s">
        <v>314</v>
      </c>
      <c r="I495" s="126">
        <v>365</v>
      </c>
      <c r="J495" s="126">
        <v>328</v>
      </c>
      <c r="K495" s="126">
        <v>309.2</v>
      </c>
      <c r="L495" s="124">
        <v>8</v>
      </c>
      <c r="M495" s="122" t="s">
        <v>272</v>
      </c>
      <c r="N495" s="122" t="s">
        <v>273</v>
      </c>
      <c r="O495" s="125" t="s">
        <v>275</v>
      </c>
      <c r="P495" s="126">
        <v>1514699.9999999998</v>
      </c>
      <c r="Q495" s="126">
        <v>0</v>
      </c>
      <c r="R495" s="126">
        <v>0</v>
      </c>
      <c r="S495" s="126">
        <f t="shared" si="160"/>
        <v>1514699.9999999998</v>
      </c>
      <c r="T495" s="126">
        <f t="shared" si="136"/>
        <v>4149.8630136986294</v>
      </c>
      <c r="U495" s="126">
        <v>5491.3021643835609</v>
      </c>
    </row>
    <row r="496" spans="1:21" s="67" customFormat="1" ht="61.5" x14ac:dyDescent="0.9">
      <c r="A496" s="67">
        <v>1</v>
      </c>
      <c r="B496" s="118">
        <f>SUBTOTAL(103,$A$16:A496)</f>
        <v>423</v>
      </c>
      <c r="C496" s="115" t="s">
        <v>1362</v>
      </c>
      <c r="D496" s="122">
        <v>1917</v>
      </c>
      <c r="E496" s="127"/>
      <c r="F496" s="127" t="s">
        <v>274</v>
      </c>
      <c r="G496" s="122">
        <v>2</v>
      </c>
      <c r="H496" s="122">
        <v>1</v>
      </c>
      <c r="I496" s="126">
        <v>513</v>
      </c>
      <c r="J496" s="126">
        <v>316.7</v>
      </c>
      <c r="K496" s="126">
        <v>316.7</v>
      </c>
      <c r="L496" s="124">
        <v>21</v>
      </c>
      <c r="M496" s="122" t="s">
        <v>272</v>
      </c>
      <c r="N496" s="122" t="s">
        <v>276</v>
      </c>
      <c r="O496" s="125" t="s">
        <v>1408</v>
      </c>
      <c r="P496" s="126">
        <v>2173966.8199999998</v>
      </c>
      <c r="Q496" s="126">
        <v>0</v>
      </c>
      <c r="R496" s="126">
        <v>0</v>
      </c>
      <c r="S496" s="126">
        <f t="shared" si="160"/>
        <v>2173966.8199999998</v>
      </c>
      <c r="T496" s="126">
        <f t="shared" si="136"/>
        <v>4237.7520857699801</v>
      </c>
      <c r="U496" s="126">
        <v>5754.0438947368411</v>
      </c>
    </row>
    <row r="497" spans="1:21" s="67" customFormat="1" ht="61.5" x14ac:dyDescent="0.9">
      <c r="A497" s="67">
        <v>1</v>
      </c>
      <c r="B497" s="118">
        <f>SUBTOTAL(103,$A$16:A497)</f>
        <v>424</v>
      </c>
      <c r="C497" s="115" t="s">
        <v>1363</v>
      </c>
      <c r="D497" s="122">
        <v>1917</v>
      </c>
      <c r="E497" s="127"/>
      <c r="F497" s="127" t="s">
        <v>274</v>
      </c>
      <c r="G497" s="122">
        <v>2</v>
      </c>
      <c r="H497" s="122">
        <v>1</v>
      </c>
      <c r="I497" s="126">
        <v>483.1</v>
      </c>
      <c r="J497" s="126">
        <v>426.2</v>
      </c>
      <c r="K497" s="126">
        <v>426.2</v>
      </c>
      <c r="L497" s="124">
        <v>28</v>
      </c>
      <c r="M497" s="122" t="s">
        <v>272</v>
      </c>
      <c r="N497" s="122" t="s">
        <v>276</v>
      </c>
      <c r="O497" s="125" t="s">
        <v>1452</v>
      </c>
      <c r="P497" s="126">
        <v>1493246.2</v>
      </c>
      <c r="Q497" s="126">
        <v>0</v>
      </c>
      <c r="R497" s="126">
        <v>0</v>
      </c>
      <c r="S497" s="126">
        <f t="shared" si="160"/>
        <v>1493246.2</v>
      </c>
      <c r="T497" s="126">
        <f t="shared" si="136"/>
        <v>3090.9670875595111</v>
      </c>
      <c r="U497" s="126">
        <v>5699.4753881184015</v>
      </c>
    </row>
    <row r="498" spans="1:21" s="67" customFormat="1" ht="61.5" x14ac:dyDescent="0.9">
      <c r="A498" s="67">
        <v>1</v>
      </c>
      <c r="B498" s="118">
        <f>SUBTOTAL(103,$A$16:A498)</f>
        <v>425</v>
      </c>
      <c r="C498" s="115" t="s">
        <v>1364</v>
      </c>
      <c r="D498" s="122">
        <v>1967</v>
      </c>
      <c r="E498" s="127">
        <v>2014</v>
      </c>
      <c r="F498" s="127" t="s">
        <v>274</v>
      </c>
      <c r="G498" s="122">
        <v>2</v>
      </c>
      <c r="H498" s="122">
        <v>4</v>
      </c>
      <c r="I498" s="126">
        <v>919.3</v>
      </c>
      <c r="J498" s="126">
        <v>760.3</v>
      </c>
      <c r="K498" s="126">
        <v>760.3</v>
      </c>
      <c r="L498" s="124">
        <v>34</v>
      </c>
      <c r="M498" s="122" t="s">
        <v>272</v>
      </c>
      <c r="N498" s="122" t="s">
        <v>276</v>
      </c>
      <c r="O498" s="125" t="s">
        <v>1453</v>
      </c>
      <c r="P498" s="126">
        <v>3513825.79</v>
      </c>
      <c r="Q498" s="126">
        <v>0</v>
      </c>
      <c r="R498" s="126">
        <v>0</v>
      </c>
      <c r="S498" s="126">
        <f t="shared" si="160"/>
        <v>3513825.79</v>
      </c>
      <c r="T498" s="126">
        <f t="shared" si="136"/>
        <v>3822.2841183509195</v>
      </c>
      <c r="U498" s="126">
        <v>3929.6299999999997</v>
      </c>
    </row>
    <row r="499" spans="1:21" s="67" customFormat="1" ht="61.5" x14ac:dyDescent="0.9">
      <c r="A499" s="67">
        <v>1</v>
      </c>
      <c r="B499" s="118">
        <f>SUBTOTAL(103,$A$16:A499)</f>
        <v>426</v>
      </c>
      <c r="C499" s="115" t="s">
        <v>1365</v>
      </c>
      <c r="D499" s="122">
        <v>1967</v>
      </c>
      <c r="E499" s="127">
        <v>2014</v>
      </c>
      <c r="F499" s="127" t="s">
        <v>274</v>
      </c>
      <c r="G499" s="122">
        <v>2</v>
      </c>
      <c r="H499" s="122">
        <v>4</v>
      </c>
      <c r="I499" s="126">
        <v>925</v>
      </c>
      <c r="J499" s="126">
        <v>759.4</v>
      </c>
      <c r="K499" s="126">
        <v>759.4</v>
      </c>
      <c r="L499" s="124">
        <v>28</v>
      </c>
      <c r="M499" s="122" t="s">
        <v>272</v>
      </c>
      <c r="N499" s="122" t="s">
        <v>276</v>
      </c>
      <c r="O499" s="125" t="s">
        <v>1453</v>
      </c>
      <c r="P499" s="126">
        <v>3345628.79</v>
      </c>
      <c r="Q499" s="126">
        <v>0</v>
      </c>
      <c r="R499" s="126">
        <v>0</v>
      </c>
      <c r="S499" s="126">
        <f t="shared" si="160"/>
        <v>3345628.79</v>
      </c>
      <c r="T499" s="126">
        <f t="shared" si="136"/>
        <v>3616.8959891891891</v>
      </c>
      <c r="U499" s="126">
        <v>3929.6299999999997</v>
      </c>
    </row>
    <row r="500" spans="1:21" s="67" customFormat="1" ht="61.5" x14ac:dyDescent="0.9">
      <c r="B500" s="115" t="s">
        <v>911</v>
      </c>
      <c r="C500" s="115"/>
      <c r="D500" s="122" t="s">
        <v>943</v>
      </c>
      <c r="E500" s="122" t="s">
        <v>943</v>
      </c>
      <c r="F500" s="122" t="s">
        <v>943</v>
      </c>
      <c r="G500" s="122" t="s">
        <v>943</v>
      </c>
      <c r="H500" s="122" t="s">
        <v>943</v>
      </c>
      <c r="I500" s="123">
        <f>I501</f>
        <v>1755.2</v>
      </c>
      <c r="J500" s="123">
        <f t="shared" ref="J500:L500" si="161">J501</f>
        <v>1537.2</v>
      </c>
      <c r="K500" s="123">
        <f t="shared" si="161"/>
        <v>1537.2</v>
      </c>
      <c r="L500" s="124">
        <f t="shared" si="161"/>
        <v>63</v>
      </c>
      <c r="M500" s="122" t="s">
        <v>943</v>
      </c>
      <c r="N500" s="122" t="s">
        <v>943</v>
      </c>
      <c r="O500" s="125" t="s">
        <v>943</v>
      </c>
      <c r="P500" s="126">
        <v>4896000</v>
      </c>
      <c r="Q500" s="126">
        <f t="shared" ref="Q500:S500" si="162">Q501</f>
        <v>0</v>
      </c>
      <c r="R500" s="126">
        <f t="shared" si="162"/>
        <v>0</v>
      </c>
      <c r="S500" s="126">
        <f t="shared" si="162"/>
        <v>4896000</v>
      </c>
      <c r="T500" s="126">
        <f t="shared" si="136"/>
        <v>2789.4257064721969</v>
      </c>
      <c r="U500" s="126">
        <f>MAX(U501)</f>
        <v>3691.1048313582492</v>
      </c>
    </row>
    <row r="501" spans="1:21" s="67" customFormat="1" ht="61.5" x14ac:dyDescent="0.9">
      <c r="A501" s="67">
        <v>1</v>
      </c>
      <c r="B501" s="118">
        <f>SUBTOTAL(103,$A$16:A501)</f>
        <v>427</v>
      </c>
      <c r="C501" s="115" t="s">
        <v>193</v>
      </c>
      <c r="D501" s="122">
        <v>1959</v>
      </c>
      <c r="E501" s="127"/>
      <c r="F501" s="127" t="s">
        <v>274</v>
      </c>
      <c r="G501" s="122">
        <v>3</v>
      </c>
      <c r="H501" s="122">
        <v>4</v>
      </c>
      <c r="I501" s="126">
        <v>1755.2</v>
      </c>
      <c r="J501" s="126">
        <v>1537.2</v>
      </c>
      <c r="K501" s="126">
        <v>1537.2</v>
      </c>
      <c r="L501" s="124">
        <v>63</v>
      </c>
      <c r="M501" s="122" t="s">
        <v>272</v>
      </c>
      <c r="N501" s="122" t="s">
        <v>273</v>
      </c>
      <c r="O501" s="125" t="s">
        <v>275</v>
      </c>
      <c r="P501" s="126">
        <v>4896000</v>
      </c>
      <c r="Q501" s="126">
        <v>0</v>
      </c>
      <c r="R501" s="126">
        <v>0</v>
      </c>
      <c r="S501" s="126">
        <f>P501-Q501-R501</f>
        <v>4896000</v>
      </c>
      <c r="T501" s="126">
        <f t="shared" si="136"/>
        <v>2789.4257064721969</v>
      </c>
      <c r="U501" s="126">
        <v>3691.1048313582492</v>
      </c>
    </row>
    <row r="502" spans="1:21" s="67" customFormat="1" ht="61.5" x14ac:dyDescent="0.9">
      <c r="B502" s="115" t="s">
        <v>912</v>
      </c>
      <c r="C502" s="115"/>
      <c r="D502" s="122" t="s">
        <v>943</v>
      </c>
      <c r="E502" s="122" t="s">
        <v>943</v>
      </c>
      <c r="F502" s="122" t="s">
        <v>943</v>
      </c>
      <c r="G502" s="122" t="s">
        <v>943</v>
      </c>
      <c r="H502" s="122" t="s">
        <v>943</v>
      </c>
      <c r="I502" s="123">
        <f>I503</f>
        <v>729.9</v>
      </c>
      <c r="J502" s="123">
        <f t="shared" ref="J502:L502" si="163">J503</f>
        <v>464.1</v>
      </c>
      <c r="K502" s="123">
        <f t="shared" si="163"/>
        <v>464.1</v>
      </c>
      <c r="L502" s="124">
        <f t="shared" si="163"/>
        <v>37</v>
      </c>
      <c r="M502" s="122" t="s">
        <v>943</v>
      </c>
      <c r="N502" s="122" t="s">
        <v>943</v>
      </c>
      <c r="O502" s="125" t="s">
        <v>943</v>
      </c>
      <c r="P502" s="126">
        <v>3170281.3600000003</v>
      </c>
      <c r="Q502" s="126">
        <f t="shared" ref="Q502:S502" si="164">Q503</f>
        <v>0</v>
      </c>
      <c r="R502" s="126">
        <f t="shared" si="164"/>
        <v>0</v>
      </c>
      <c r="S502" s="126">
        <f t="shared" si="164"/>
        <v>3170281.3600000003</v>
      </c>
      <c r="T502" s="126">
        <f t="shared" si="136"/>
        <v>4343.4461707083165</v>
      </c>
      <c r="U502" s="126">
        <f>MAX(U503)</f>
        <v>6907.7841052198937</v>
      </c>
    </row>
    <row r="503" spans="1:21" s="67" customFormat="1" ht="61.5" x14ac:dyDescent="0.9">
      <c r="A503" s="67">
        <v>1</v>
      </c>
      <c r="B503" s="118">
        <f>SUBTOTAL(103,$A$16:A503)</f>
        <v>428</v>
      </c>
      <c r="C503" s="115" t="s">
        <v>192</v>
      </c>
      <c r="D503" s="122" t="s">
        <v>315</v>
      </c>
      <c r="E503" s="127"/>
      <c r="F503" s="127" t="s">
        <v>274</v>
      </c>
      <c r="G503" s="122" t="s">
        <v>313</v>
      </c>
      <c r="H503" s="122" t="s">
        <v>313</v>
      </c>
      <c r="I503" s="126">
        <v>729.9</v>
      </c>
      <c r="J503" s="126">
        <v>464.1</v>
      </c>
      <c r="K503" s="126">
        <v>464.1</v>
      </c>
      <c r="L503" s="124">
        <v>37</v>
      </c>
      <c r="M503" s="122" t="s">
        <v>272</v>
      </c>
      <c r="N503" s="122" t="s">
        <v>276</v>
      </c>
      <c r="O503" s="125" t="s">
        <v>1067</v>
      </c>
      <c r="P503" s="126">
        <v>3170281.3600000003</v>
      </c>
      <c r="Q503" s="126">
        <v>0</v>
      </c>
      <c r="R503" s="126">
        <v>0</v>
      </c>
      <c r="S503" s="126">
        <f>P503-Q503-R503</f>
        <v>3170281.3600000003</v>
      </c>
      <c r="T503" s="126">
        <f t="shared" si="136"/>
        <v>4343.4461707083165</v>
      </c>
      <c r="U503" s="126">
        <v>6907.7841052198937</v>
      </c>
    </row>
    <row r="504" spans="1:21" s="67" customFormat="1" ht="61.5" x14ac:dyDescent="0.9">
      <c r="B504" s="115" t="s">
        <v>913</v>
      </c>
      <c r="C504" s="115"/>
      <c r="D504" s="122" t="s">
        <v>943</v>
      </c>
      <c r="E504" s="122" t="s">
        <v>943</v>
      </c>
      <c r="F504" s="122" t="s">
        <v>943</v>
      </c>
      <c r="G504" s="122" t="s">
        <v>943</v>
      </c>
      <c r="H504" s="122" t="s">
        <v>943</v>
      </c>
      <c r="I504" s="123">
        <f>I505</f>
        <v>428.4</v>
      </c>
      <c r="J504" s="123">
        <f t="shared" ref="J504:L504" si="165">J505</f>
        <v>385.4</v>
      </c>
      <c r="K504" s="123">
        <f t="shared" si="165"/>
        <v>385.4</v>
      </c>
      <c r="L504" s="124">
        <f t="shared" si="165"/>
        <v>20</v>
      </c>
      <c r="M504" s="122" t="s">
        <v>943</v>
      </c>
      <c r="N504" s="122" t="s">
        <v>943</v>
      </c>
      <c r="O504" s="125" t="s">
        <v>943</v>
      </c>
      <c r="P504" s="126">
        <v>2706247</v>
      </c>
      <c r="Q504" s="126">
        <f t="shared" ref="Q504:S504" si="166">Q505</f>
        <v>0</v>
      </c>
      <c r="R504" s="126">
        <f t="shared" si="166"/>
        <v>0</v>
      </c>
      <c r="S504" s="126">
        <f t="shared" si="166"/>
        <v>2706247</v>
      </c>
      <c r="T504" s="126">
        <f t="shared" si="136"/>
        <v>6317.1031746031749</v>
      </c>
      <c r="U504" s="126">
        <f>MAX(U505)</f>
        <v>6915.5514239028944</v>
      </c>
    </row>
    <row r="505" spans="1:21" s="67" customFormat="1" ht="61.5" x14ac:dyDescent="0.9">
      <c r="A505" s="67">
        <v>1</v>
      </c>
      <c r="B505" s="118">
        <f>SUBTOTAL(103,$A$16:A505)</f>
        <v>429</v>
      </c>
      <c r="C505" s="115" t="s">
        <v>191</v>
      </c>
      <c r="D505" s="122" t="s">
        <v>316</v>
      </c>
      <c r="E505" s="127"/>
      <c r="F505" s="127" t="s">
        <v>274</v>
      </c>
      <c r="G505" s="122" t="s">
        <v>313</v>
      </c>
      <c r="H505" s="122" t="s">
        <v>313</v>
      </c>
      <c r="I505" s="126">
        <v>428.4</v>
      </c>
      <c r="J505" s="126">
        <v>385.4</v>
      </c>
      <c r="K505" s="126">
        <v>385.4</v>
      </c>
      <c r="L505" s="124">
        <v>20</v>
      </c>
      <c r="M505" s="122" t="s">
        <v>272</v>
      </c>
      <c r="N505" s="122" t="s">
        <v>273</v>
      </c>
      <c r="O505" s="125" t="s">
        <v>275</v>
      </c>
      <c r="P505" s="126">
        <v>2706247</v>
      </c>
      <c r="Q505" s="126">
        <v>0</v>
      </c>
      <c r="R505" s="126">
        <v>0</v>
      </c>
      <c r="S505" s="126">
        <f>P505-Q505-R505</f>
        <v>2706247</v>
      </c>
      <c r="T505" s="126">
        <f t="shared" si="136"/>
        <v>6317.1031746031749</v>
      </c>
      <c r="U505" s="126">
        <v>6915.5514239028944</v>
      </c>
    </row>
    <row r="506" spans="1:21" s="67" customFormat="1" ht="61.5" x14ac:dyDescent="0.9">
      <c r="B506" s="115" t="s">
        <v>914</v>
      </c>
      <c r="C506" s="119"/>
      <c r="D506" s="122" t="s">
        <v>943</v>
      </c>
      <c r="E506" s="122" t="s">
        <v>943</v>
      </c>
      <c r="F506" s="122" t="s">
        <v>943</v>
      </c>
      <c r="G506" s="122" t="s">
        <v>943</v>
      </c>
      <c r="H506" s="122" t="s">
        <v>943</v>
      </c>
      <c r="I506" s="123">
        <f>SUM(I507:I512)</f>
        <v>10024</v>
      </c>
      <c r="J506" s="123">
        <f t="shared" ref="J506:L506" si="167">SUM(J507:J512)</f>
        <v>8092.1800000000012</v>
      </c>
      <c r="K506" s="123">
        <f t="shared" si="167"/>
        <v>6886.3</v>
      </c>
      <c r="L506" s="124">
        <f t="shared" si="167"/>
        <v>483</v>
      </c>
      <c r="M506" s="122" t="s">
        <v>943</v>
      </c>
      <c r="N506" s="122" t="s">
        <v>943</v>
      </c>
      <c r="O506" s="125" t="s">
        <v>943</v>
      </c>
      <c r="P506" s="126">
        <v>17095245.41</v>
      </c>
      <c r="Q506" s="126">
        <f t="shared" ref="Q506:S506" si="168">SUM(Q507:Q512)</f>
        <v>0</v>
      </c>
      <c r="R506" s="126">
        <f t="shared" si="168"/>
        <v>0</v>
      </c>
      <c r="S506" s="126">
        <f t="shared" si="168"/>
        <v>17095245.41</v>
      </c>
      <c r="T506" s="126">
        <f t="shared" si="136"/>
        <v>1705.431505387071</v>
      </c>
      <c r="U506" s="126">
        <f>MAX(U507:U512)</f>
        <v>2753.19</v>
      </c>
    </row>
    <row r="507" spans="1:21" s="67" customFormat="1" ht="61.5" x14ac:dyDescent="0.9">
      <c r="A507" s="67">
        <v>1</v>
      </c>
      <c r="B507" s="118">
        <f>SUBTOTAL(103,$A$16:A507)</f>
        <v>430</v>
      </c>
      <c r="C507" s="115" t="s">
        <v>222</v>
      </c>
      <c r="D507" s="122">
        <v>1974</v>
      </c>
      <c r="E507" s="127"/>
      <c r="F507" s="127" t="s">
        <v>274</v>
      </c>
      <c r="G507" s="122">
        <v>5</v>
      </c>
      <c r="H507" s="122">
        <v>4</v>
      </c>
      <c r="I507" s="126">
        <v>3601.7</v>
      </c>
      <c r="J507" s="126">
        <v>3307.8</v>
      </c>
      <c r="K507" s="126">
        <v>3214.4</v>
      </c>
      <c r="L507" s="124">
        <v>129</v>
      </c>
      <c r="M507" s="122" t="s">
        <v>272</v>
      </c>
      <c r="N507" s="122" t="s">
        <v>276</v>
      </c>
      <c r="O507" s="125" t="s">
        <v>342</v>
      </c>
      <c r="P507" s="126">
        <v>5918262.9900000002</v>
      </c>
      <c r="Q507" s="126">
        <v>0</v>
      </c>
      <c r="R507" s="126">
        <v>0</v>
      </c>
      <c r="S507" s="126">
        <f t="shared" ref="S507:S512" si="169">P507-Q507-R507</f>
        <v>5918262.9900000002</v>
      </c>
      <c r="T507" s="126">
        <f t="shared" si="136"/>
        <v>1643.1859927256576</v>
      </c>
      <c r="U507" s="126">
        <v>2179.133995057889</v>
      </c>
    </row>
    <row r="508" spans="1:21" s="67" customFormat="1" ht="61.5" x14ac:dyDescent="0.9">
      <c r="A508" s="67">
        <v>1</v>
      </c>
      <c r="B508" s="118">
        <f>SUBTOTAL(103,$A$16:A508)</f>
        <v>431</v>
      </c>
      <c r="C508" s="115" t="s">
        <v>223</v>
      </c>
      <c r="D508" s="122">
        <v>1992</v>
      </c>
      <c r="E508" s="127"/>
      <c r="F508" s="127" t="s">
        <v>321</v>
      </c>
      <c r="G508" s="122">
        <v>2</v>
      </c>
      <c r="H508" s="122">
        <v>2</v>
      </c>
      <c r="I508" s="126">
        <v>690.3</v>
      </c>
      <c r="J508" s="126">
        <v>630.29999999999995</v>
      </c>
      <c r="K508" s="126">
        <v>630.29999999999995</v>
      </c>
      <c r="L508" s="124">
        <v>25</v>
      </c>
      <c r="M508" s="122" t="s">
        <v>272</v>
      </c>
      <c r="N508" s="122" t="s">
        <v>276</v>
      </c>
      <c r="O508" s="125" t="s">
        <v>342</v>
      </c>
      <c r="P508" s="126">
        <v>706896.33000000007</v>
      </c>
      <c r="Q508" s="126">
        <v>0</v>
      </c>
      <c r="R508" s="126">
        <v>0</v>
      </c>
      <c r="S508" s="126">
        <f t="shared" si="169"/>
        <v>706896.33000000007</v>
      </c>
      <c r="T508" s="126">
        <f t="shared" si="136"/>
        <v>1024.0421990438942</v>
      </c>
      <c r="U508" s="126">
        <v>2753.19</v>
      </c>
    </row>
    <row r="509" spans="1:21" s="67" customFormat="1" ht="61.5" x14ac:dyDescent="0.9">
      <c r="A509" s="67">
        <v>1</v>
      </c>
      <c r="B509" s="118">
        <f>SUBTOTAL(103,$A$16:A509)</f>
        <v>432</v>
      </c>
      <c r="C509" s="115" t="s">
        <v>1366</v>
      </c>
      <c r="D509" s="122">
        <v>1967</v>
      </c>
      <c r="E509" s="127"/>
      <c r="F509" s="127" t="s">
        <v>274</v>
      </c>
      <c r="G509" s="122">
        <v>4</v>
      </c>
      <c r="H509" s="122">
        <v>2</v>
      </c>
      <c r="I509" s="126">
        <v>2162.6999999999998</v>
      </c>
      <c r="J509" s="126">
        <v>1343.3</v>
      </c>
      <c r="K509" s="126">
        <v>620.5</v>
      </c>
      <c r="L509" s="124">
        <v>138</v>
      </c>
      <c r="M509" s="122" t="s">
        <v>272</v>
      </c>
      <c r="N509" s="122" t="s">
        <v>276</v>
      </c>
      <c r="O509" s="125" t="s">
        <v>1398</v>
      </c>
      <c r="P509" s="126">
        <v>3239861.98</v>
      </c>
      <c r="Q509" s="126">
        <v>0</v>
      </c>
      <c r="R509" s="126">
        <v>0</v>
      </c>
      <c r="S509" s="126">
        <f t="shared" si="169"/>
        <v>3239861.98</v>
      </c>
      <c r="T509" s="126">
        <f t="shared" si="136"/>
        <v>1498.063522448791</v>
      </c>
      <c r="U509" s="126">
        <v>2753.19</v>
      </c>
    </row>
    <row r="510" spans="1:21" s="67" customFormat="1" ht="61.5" x14ac:dyDescent="0.9">
      <c r="A510" s="67">
        <v>1</v>
      </c>
      <c r="B510" s="118">
        <f>SUBTOTAL(103,$A$16:A510)</f>
        <v>433</v>
      </c>
      <c r="C510" s="115" t="s">
        <v>1367</v>
      </c>
      <c r="D510" s="122">
        <v>1980</v>
      </c>
      <c r="E510" s="127"/>
      <c r="F510" s="127" t="s">
        <v>274</v>
      </c>
      <c r="G510" s="122">
        <v>2</v>
      </c>
      <c r="H510" s="122">
        <v>3</v>
      </c>
      <c r="I510" s="126">
        <v>952.3</v>
      </c>
      <c r="J510" s="126">
        <v>869.8</v>
      </c>
      <c r="K510" s="126">
        <v>754.7</v>
      </c>
      <c r="L510" s="124">
        <v>47</v>
      </c>
      <c r="M510" s="122" t="s">
        <v>272</v>
      </c>
      <c r="N510" s="122" t="s">
        <v>276</v>
      </c>
      <c r="O510" s="125" t="s">
        <v>1398</v>
      </c>
      <c r="P510" s="126">
        <v>2323778.17</v>
      </c>
      <c r="Q510" s="126">
        <v>0</v>
      </c>
      <c r="R510" s="126">
        <v>0</v>
      </c>
      <c r="S510" s="126">
        <f t="shared" si="169"/>
        <v>2323778.17</v>
      </c>
      <c r="T510" s="126">
        <f t="shared" si="136"/>
        <v>2440.1744933319333</v>
      </c>
      <c r="U510" s="126">
        <v>2753.19</v>
      </c>
    </row>
    <row r="511" spans="1:21" s="67" customFormat="1" ht="61.5" x14ac:dyDescent="0.9">
      <c r="A511" s="67">
        <v>1</v>
      </c>
      <c r="B511" s="118">
        <f>SUBTOTAL(103,$A$16:A511)</f>
        <v>434</v>
      </c>
      <c r="C511" s="115" t="s">
        <v>1368</v>
      </c>
      <c r="D511" s="122">
        <v>1967</v>
      </c>
      <c r="E511" s="127"/>
      <c r="F511" s="127" t="s">
        <v>274</v>
      </c>
      <c r="G511" s="122">
        <v>2</v>
      </c>
      <c r="H511" s="122">
        <v>2</v>
      </c>
      <c r="I511" s="126">
        <v>783.4</v>
      </c>
      <c r="J511" s="126">
        <v>725.6</v>
      </c>
      <c r="K511" s="126">
        <v>680.1</v>
      </c>
      <c r="L511" s="124">
        <v>35</v>
      </c>
      <c r="M511" s="122" t="s">
        <v>272</v>
      </c>
      <c r="N511" s="122" t="s">
        <v>276</v>
      </c>
      <c r="O511" s="125" t="s">
        <v>1398</v>
      </c>
      <c r="P511" s="126">
        <v>1985940.6099999996</v>
      </c>
      <c r="Q511" s="126">
        <v>0</v>
      </c>
      <c r="R511" s="126">
        <v>0</v>
      </c>
      <c r="S511" s="126">
        <f t="shared" si="169"/>
        <v>1985940.6099999996</v>
      </c>
      <c r="T511" s="126">
        <f t="shared" si="136"/>
        <v>2535.0275848863921</v>
      </c>
      <c r="U511" s="126">
        <v>2753.19</v>
      </c>
    </row>
    <row r="512" spans="1:21" s="67" customFormat="1" ht="61.5" x14ac:dyDescent="0.9">
      <c r="A512" s="67">
        <v>1</v>
      </c>
      <c r="B512" s="118">
        <f>SUBTOTAL(103,$A$16:A512)</f>
        <v>435</v>
      </c>
      <c r="C512" s="115" t="s">
        <v>1369</v>
      </c>
      <c r="D512" s="122">
        <v>1964</v>
      </c>
      <c r="E512" s="127"/>
      <c r="F512" s="127" t="s">
        <v>274</v>
      </c>
      <c r="G512" s="122">
        <v>2</v>
      </c>
      <c r="H512" s="122">
        <v>4</v>
      </c>
      <c r="I512" s="126">
        <v>1833.6</v>
      </c>
      <c r="J512" s="126">
        <v>1215.3800000000001</v>
      </c>
      <c r="K512" s="126">
        <v>986.3</v>
      </c>
      <c r="L512" s="124">
        <v>109</v>
      </c>
      <c r="M512" s="122" t="s">
        <v>272</v>
      </c>
      <c r="N512" s="122" t="s">
        <v>276</v>
      </c>
      <c r="O512" s="125" t="s">
        <v>1398</v>
      </c>
      <c r="P512" s="126">
        <v>2920505.33</v>
      </c>
      <c r="Q512" s="126">
        <v>0</v>
      </c>
      <c r="R512" s="126">
        <v>0</v>
      </c>
      <c r="S512" s="126">
        <f t="shared" si="169"/>
        <v>2920505.33</v>
      </c>
      <c r="T512" s="126">
        <f t="shared" si="136"/>
        <v>1592.7712314572427</v>
      </c>
      <c r="U512" s="126">
        <v>2753.19</v>
      </c>
    </row>
    <row r="513" spans="1:21" s="67" customFormat="1" ht="61.5" x14ac:dyDescent="0.9">
      <c r="B513" s="115" t="s">
        <v>915</v>
      </c>
      <c r="C513" s="115"/>
      <c r="D513" s="122" t="s">
        <v>943</v>
      </c>
      <c r="E513" s="122" t="s">
        <v>943</v>
      </c>
      <c r="F513" s="122" t="s">
        <v>943</v>
      </c>
      <c r="G513" s="122" t="s">
        <v>943</v>
      </c>
      <c r="H513" s="122" t="s">
        <v>943</v>
      </c>
      <c r="I513" s="123">
        <f>SUM(I514:I518)</f>
        <v>3295.2</v>
      </c>
      <c r="J513" s="123">
        <f t="shared" ref="J513:L513" si="170">SUM(J514:J518)</f>
        <v>2918.8999999999996</v>
      </c>
      <c r="K513" s="123">
        <f t="shared" si="170"/>
        <v>2901.2</v>
      </c>
      <c r="L513" s="124">
        <f t="shared" si="170"/>
        <v>81</v>
      </c>
      <c r="M513" s="122" t="s">
        <v>943</v>
      </c>
      <c r="N513" s="122" t="s">
        <v>943</v>
      </c>
      <c r="O513" s="125" t="s">
        <v>943</v>
      </c>
      <c r="P513" s="126">
        <v>7944432.1499999994</v>
      </c>
      <c r="Q513" s="126">
        <f t="shared" ref="Q513:S513" si="171">SUM(Q514:Q518)</f>
        <v>0</v>
      </c>
      <c r="R513" s="126">
        <f t="shared" si="171"/>
        <v>0</v>
      </c>
      <c r="S513" s="126">
        <f t="shared" si="171"/>
        <v>7944432.1499999994</v>
      </c>
      <c r="T513" s="126">
        <f t="shared" si="136"/>
        <v>2410.9104606700657</v>
      </c>
      <c r="U513" s="126">
        <f>MAX(U514:U518)</f>
        <v>5819.2302445302439</v>
      </c>
    </row>
    <row r="514" spans="1:21" s="67" customFormat="1" ht="61.5" x14ac:dyDescent="0.9">
      <c r="A514" s="67">
        <v>1</v>
      </c>
      <c r="B514" s="118">
        <f>SUBTOTAL(103,$A$16:A514)</f>
        <v>436</v>
      </c>
      <c r="C514" s="115" t="s">
        <v>225</v>
      </c>
      <c r="D514" s="122">
        <v>1973</v>
      </c>
      <c r="E514" s="127"/>
      <c r="F514" s="127" t="s">
        <v>274</v>
      </c>
      <c r="G514" s="122">
        <v>2</v>
      </c>
      <c r="H514" s="122">
        <v>2</v>
      </c>
      <c r="I514" s="126">
        <v>775.5</v>
      </c>
      <c r="J514" s="126">
        <v>715.8</v>
      </c>
      <c r="K514" s="126">
        <v>715.8</v>
      </c>
      <c r="L514" s="124">
        <v>16</v>
      </c>
      <c r="M514" s="122" t="s">
        <v>272</v>
      </c>
      <c r="N514" s="122" t="s">
        <v>276</v>
      </c>
      <c r="O514" s="125" t="s">
        <v>342</v>
      </c>
      <c r="P514" s="126">
        <v>197289.34</v>
      </c>
      <c r="Q514" s="126">
        <v>0</v>
      </c>
      <c r="R514" s="126">
        <v>0</v>
      </c>
      <c r="S514" s="126">
        <f t="shared" ref="S514:S518" si="172">P514-Q514-R514</f>
        <v>197289.34</v>
      </c>
      <c r="T514" s="126">
        <f t="shared" si="136"/>
        <v>254.40275950999356</v>
      </c>
      <c r="U514" s="126">
        <v>254.40275950999356</v>
      </c>
    </row>
    <row r="515" spans="1:21" s="67" customFormat="1" ht="61.5" x14ac:dyDescent="0.9">
      <c r="A515" s="67">
        <v>1</v>
      </c>
      <c r="B515" s="118">
        <f>SUBTOTAL(103,$A$16:A515)</f>
        <v>437</v>
      </c>
      <c r="C515" s="115" t="s">
        <v>226</v>
      </c>
      <c r="D515" s="122">
        <v>1971</v>
      </c>
      <c r="E515" s="127"/>
      <c r="F515" s="127" t="s">
        <v>274</v>
      </c>
      <c r="G515" s="122">
        <v>2</v>
      </c>
      <c r="H515" s="122">
        <v>2</v>
      </c>
      <c r="I515" s="126">
        <v>777</v>
      </c>
      <c r="J515" s="126">
        <v>718.1</v>
      </c>
      <c r="K515" s="126">
        <v>718.1</v>
      </c>
      <c r="L515" s="124">
        <v>16</v>
      </c>
      <c r="M515" s="122" t="s">
        <v>272</v>
      </c>
      <c r="N515" s="122" t="s">
        <v>276</v>
      </c>
      <c r="O515" s="125" t="s">
        <v>342</v>
      </c>
      <c r="P515" s="126">
        <v>3417000</v>
      </c>
      <c r="Q515" s="126">
        <v>0</v>
      </c>
      <c r="R515" s="126">
        <v>0</v>
      </c>
      <c r="S515" s="126">
        <f t="shared" si="172"/>
        <v>3417000</v>
      </c>
      <c r="T515" s="126">
        <f t="shared" si="136"/>
        <v>4397.6833976833977</v>
      </c>
      <c r="U515" s="126">
        <v>5819.2302445302439</v>
      </c>
    </row>
    <row r="516" spans="1:21" s="67" customFormat="1" ht="61.5" x14ac:dyDescent="0.9">
      <c r="A516" s="67">
        <v>1</v>
      </c>
      <c r="B516" s="118">
        <f>SUBTOTAL(103,$A$16:A516)</f>
        <v>438</v>
      </c>
      <c r="C516" s="115" t="s">
        <v>231</v>
      </c>
      <c r="D516" s="122">
        <v>1978</v>
      </c>
      <c r="E516" s="127"/>
      <c r="F516" s="127" t="s">
        <v>321</v>
      </c>
      <c r="G516" s="122">
        <v>3</v>
      </c>
      <c r="H516" s="122">
        <v>2</v>
      </c>
      <c r="I516" s="126">
        <v>1015.3</v>
      </c>
      <c r="J516" s="126">
        <v>929.3</v>
      </c>
      <c r="K516" s="126">
        <v>929.3</v>
      </c>
      <c r="L516" s="124">
        <v>18</v>
      </c>
      <c r="M516" s="122" t="s">
        <v>272</v>
      </c>
      <c r="N516" s="122" t="s">
        <v>276</v>
      </c>
      <c r="O516" s="125" t="s">
        <v>342</v>
      </c>
      <c r="P516" s="126">
        <v>2510572.7999999998</v>
      </c>
      <c r="Q516" s="126">
        <v>0</v>
      </c>
      <c r="R516" s="126">
        <v>0</v>
      </c>
      <c r="S516" s="126">
        <f t="shared" si="172"/>
        <v>2510572.7999999998</v>
      </c>
      <c r="T516" s="126">
        <f t="shared" si="136"/>
        <v>2472.7398798384711</v>
      </c>
      <c r="U516" s="126">
        <v>2472.7398798384711</v>
      </c>
    </row>
    <row r="517" spans="1:21" s="67" customFormat="1" ht="61.5" x14ac:dyDescent="0.9">
      <c r="A517" s="67">
        <v>1</v>
      </c>
      <c r="B517" s="118">
        <f>SUBTOTAL(103,$A$16:A517)</f>
        <v>439</v>
      </c>
      <c r="C517" s="115" t="s">
        <v>1171</v>
      </c>
      <c r="D517" s="122">
        <v>1938</v>
      </c>
      <c r="E517" s="127"/>
      <c r="F517" s="127" t="s">
        <v>340</v>
      </c>
      <c r="G517" s="122">
        <v>2</v>
      </c>
      <c r="H517" s="122">
        <v>1</v>
      </c>
      <c r="I517" s="126">
        <v>369.2</v>
      </c>
      <c r="J517" s="126">
        <v>222.5</v>
      </c>
      <c r="K517" s="126">
        <v>204.8</v>
      </c>
      <c r="L517" s="124">
        <v>16</v>
      </c>
      <c r="M517" s="122" t="s">
        <v>272</v>
      </c>
      <c r="N517" s="122" t="s">
        <v>273</v>
      </c>
      <c r="O517" s="125" t="s">
        <v>275</v>
      </c>
      <c r="P517" s="126">
        <v>1509999.9999999998</v>
      </c>
      <c r="Q517" s="126">
        <v>0</v>
      </c>
      <c r="R517" s="126">
        <v>0</v>
      </c>
      <c r="S517" s="126">
        <f t="shared" si="172"/>
        <v>1509999.9999999998</v>
      </c>
      <c r="T517" s="126">
        <f t="shared" si="136"/>
        <v>4089.9241603466949</v>
      </c>
      <c r="U517" s="126">
        <v>4386.9360780064999</v>
      </c>
    </row>
    <row r="518" spans="1:21" s="67" customFormat="1" ht="61.5" x14ac:dyDescent="0.9">
      <c r="A518" s="67">
        <v>1</v>
      </c>
      <c r="B518" s="118">
        <f>SUBTOTAL(103,$A$16:A518)</f>
        <v>440</v>
      </c>
      <c r="C518" s="115" t="s">
        <v>1370</v>
      </c>
      <c r="D518" s="122">
        <v>1970</v>
      </c>
      <c r="E518" s="127"/>
      <c r="F518" s="127" t="s">
        <v>274</v>
      </c>
      <c r="G518" s="122">
        <v>2</v>
      </c>
      <c r="H518" s="122">
        <v>1</v>
      </c>
      <c r="I518" s="126">
        <v>358.2</v>
      </c>
      <c r="J518" s="126">
        <v>333.2</v>
      </c>
      <c r="K518" s="126">
        <v>333.2</v>
      </c>
      <c r="L518" s="124">
        <v>15</v>
      </c>
      <c r="M518" s="122" t="s">
        <v>272</v>
      </c>
      <c r="N518" s="122" t="s">
        <v>276</v>
      </c>
      <c r="O518" s="125" t="s">
        <v>1455</v>
      </c>
      <c r="P518" s="126">
        <v>309570.01</v>
      </c>
      <c r="Q518" s="126">
        <v>0</v>
      </c>
      <c r="R518" s="126">
        <v>0</v>
      </c>
      <c r="S518" s="126">
        <f t="shared" si="172"/>
        <v>309570.01</v>
      </c>
      <c r="T518" s="126">
        <f t="shared" si="136"/>
        <v>864.23788386376327</v>
      </c>
      <c r="U518" s="126">
        <v>864.23788386376327</v>
      </c>
    </row>
    <row r="519" spans="1:21" s="67" customFormat="1" ht="61.5" x14ac:dyDescent="0.9">
      <c r="B519" s="115" t="s">
        <v>916</v>
      </c>
      <c r="C519" s="115"/>
      <c r="D519" s="122" t="s">
        <v>943</v>
      </c>
      <c r="E519" s="122" t="s">
        <v>943</v>
      </c>
      <c r="F519" s="122" t="s">
        <v>943</v>
      </c>
      <c r="G519" s="122" t="s">
        <v>943</v>
      </c>
      <c r="H519" s="122" t="s">
        <v>943</v>
      </c>
      <c r="I519" s="123">
        <f>SUM(I520:I522)</f>
        <v>1634.9</v>
      </c>
      <c r="J519" s="123">
        <f t="shared" ref="J519:L519" si="173">SUM(J520:J522)</f>
        <v>1609.9</v>
      </c>
      <c r="K519" s="123">
        <f t="shared" si="173"/>
        <v>1149.7</v>
      </c>
      <c r="L519" s="124">
        <f t="shared" si="173"/>
        <v>75</v>
      </c>
      <c r="M519" s="122" t="s">
        <v>943</v>
      </c>
      <c r="N519" s="122" t="s">
        <v>943</v>
      </c>
      <c r="O519" s="125" t="s">
        <v>943</v>
      </c>
      <c r="P519" s="126">
        <v>926720.65000000014</v>
      </c>
      <c r="Q519" s="126">
        <f t="shared" ref="Q519:S519" si="174">Q520+Q521+Q522</f>
        <v>0</v>
      </c>
      <c r="R519" s="126">
        <f t="shared" si="174"/>
        <v>0</v>
      </c>
      <c r="S519" s="126">
        <f t="shared" si="174"/>
        <v>926720.65000000014</v>
      </c>
      <c r="T519" s="126">
        <f t="shared" si="136"/>
        <v>566.83628968132609</v>
      </c>
      <c r="U519" s="126">
        <f>MAX(U520:U522)</f>
        <v>1715.5844675740593</v>
      </c>
    </row>
    <row r="520" spans="1:21" s="67" customFormat="1" ht="61.5" x14ac:dyDescent="0.9">
      <c r="A520" s="67">
        <v>1</v>
      </c>
      <c r="B520" s="118">
        <f>SUBTOTAL(103,$A$16:A520)</f>
        <v>441</v>
      </c>
      <c r="C520" s="115" t="s">
        <v>229</v>
      </c>
      <c r="D520" s="122">
        <v>1962</v>
      </c>
      <c r="E520" s="127"/>
      <c r="F520" s="127" t="s">
        <v>274</v>
      </c>
      <c r="G520" s="122">
        <v>2</v>
      </c>
      <c r="H520" s="122">
        <v>1</v>
      </c>
      <c r="I520" s="126">
        <v>212.1</v>
      </c>
      <c r="J520" s="126">
        <v>187.1</v>
      </c>
      <c r="K520" s="126">
        <v>187.1</v>
      </c>
      <c r="L520" s="124">
        <v>11</v>
      </c>
      <c r="M520" s="122" t="s">
        <v>272</v>
      </c>
      <c r="N520" s="122" t="s">
        <v>273</v>
      </c>
      <c r="O520" s="125" t="s">
        <v>275</v>
      </c>
      <c r="P520" s="126">
        <v>221852.56</v>
      </c>
      <c r="Q520" s="126">
        <v>0</v>
      </c>
      <c r="R520" s="126">
        <v>0</v>
      </c>
      <c r="S520" s="126">
        <f t="shared" ref="S520:S522" si="175">P520-Q520-R520</f>
        <v>221852.56</v>
      </c>
      <c r="T520" s="126">
        <f t="shared" si="136"/>
        <v>1045.9809523809524</v>
      </c>
      <c r="U520" s="126">
        <v>1045.9809523809524</v>
      </c>
    </row>
    <row r="521" spans="1:21" s="67" customFormat="1" ht="61.5" x14ac:dyDescent="0.9">
      <c r="A521" s="67">
        <v>1</v>
      </c>
      <c r="B521" s="118">
        <f>SUBTOTAL(103,$A$16:A521)</f>
        <v>442</v>
      </c>
      <c r="C521" s="115" t="s">
        <v>1384</v>
      </c>
      <c r="D521" s="122">
        <v>1976</v>
      </c>
      <c r="E521" s="127"/>
      <c r="F521" s="127" t="s">
        <v>274</v>
      </c>
      <c r="G521" s="122">
        <v>2</v>
      </c>
      <c r="H521" s="122">
        <v>2</v>
      </c>
      <c r="I521" s="126">
        <v>798.3</v>
      </c>
      <c r="J521" s="126">
        <v>798.3</v>
      </c>
      <c r="K521" s="126">
        <v>587.79999999999995</v>
      </c>
      <c r="L521" s="124">
        <v>32</v>
      </c>
      <c r="M521" s="122" t="s">
        <v>272</v>
      </c>
      <c r="N521" s="122" t="s">
        <v>273</v>
      </c>
      <c r="O521" s="125" t="s">
        <v>275</v>
      </c>
      <c r="P521" s="126">
        <v>323750</v>
      </c>
      <c r="Q521" s="126">
        <v>0</v>
      </c>
      <c r="R521" s="126">
        <v>0</v>
      </c>
      <c r="S521" s="126">
        <f t="shared" si="175"/>
        <v>323750</v>
      </c>
      <c r="T521" s="126">
        <f t="shared" si="136"/>
        <v>405.54929224602284</v>
      </c>
      <c r="U521" s="126">
        <v>1029.4225980207943</v>
      </c>
    </row>
    <row r="522" spans="1:21" s="67" customFormat="1" ht="61.5" x14ac:dyDescent="0.9">
      <c r="A522" s="67">
        <v>1</v>
      </c>
      <c r="B522" s="118">
        <f>SUBTOTAL(103,$A$16:A522)</f>
        <v>443</v>
      </c>
      <c r="C522" s="115" t="s">
        <v>1385</v>
      </c>
      <c r="D522" s="122">
        <v>1986</v>
      </c>
      <c r="E522" s="127"/>
      <c r="F522" s="127" t="s">
        <v>328</v>
      </c>
      <c r="G522" s="122">
        <v>2</v>
      </c>
      <c r="H522" s="122">
        <v>2</v>
      </c>
      <c r="I522" s="126">
        <v>624.5</v>
      </c>
      <c r="J522" s="126">
        <v>624.5</v>
      </c>
      <c r="K522" s="126">
        <v>374.8</v>
      </c>
      <c r="L522" s="124">
        <v>32</v>
      </c>
      <c r="M522" s="122" t="s">
        <v>272</v>
      </c>
      <c r="N522" s="122" t="s">
        <v>273</v>
      </c>
      <c r="O522" s="125" t="s">
        <v>275</v>
      </c>
      <c r="P522" s="126">
        <v>381118.09</v>
      </c>
      <c r="Q522" s="126">
        <v>0</v>
      </c>
      <c r="R522" s="126">
        <v>0</v>
      </c>
      <c r="S522" s="126">
        <f t="shared" si="175"/>
        <v>381118.09</v>
      </c>
      <c r="T522" s="126">
        <f t="shared" si="136"/>
        <v>610.27716573258613</v>
      </c>
      <c r="U522" s="126">
        <v>1715.5844675740593</v>
      </c>
    </row>
    <row r="523" spans="1:21" s="67" customFormat="1" ht="61.5" x14ac:dyDescent="0.9">
      <c r="B523" s="115" t="s">
        <v>917</v>
      </c>
      <c r="C523" s="115"/>
      <c r="D523" s="122" t="s">
        <v>943</v>
      </c>
      <c r="E523" s="122" t="s">
        <v>943</v>
      </c>
      <c r="F523" s="122" t="s">
        <v>943</v>
      </c>
      <c r="G523" s="122" t="s">
        <v>943</v>
      </c>
      <c r="H523" s="122" t="s">
        <v>943</v>
      </c>
      <c r="I523" s="123">
        <f>I524</f>
        <v>317.39999999999998</v>
      </c>
      <c r="J523" s="123">
        <f t="shared" ref="J523:L523" si="176">J524</f>
        <v>287.2</v>
      </c>
      <c r="K523" s="123">
        <f t="shared" si="176"/>
        <v>212.6</v>
      </c>
      <c r="L523" s="124">
        <f t="shared" si="176"/>
        <v>17</v>
      </c>
      <c r="M523" s="122" t="s">
        <v>943</v>
      </c>
      <c r="N523" s="122" t="s">
        <v>943</v>
      </c>
      <c r="O523" s="125" t="s">
        <v>943</v>
      </c>
      <c r="P523" s="126">
        <v>1428000</v>
      </c>
      <c r="Q523" s="126">
        <f t="shared" ref="Q523:S523" si="177">Q524</f>
        <v>0</v>
      </c>
      <c r="R523" s="126">
        <f t="shared" si="177"/>
        <v>0</v>
      </c>
      <c r="S523" s="126">
        <f t="shared" si="177"/>
        <v>1428000</v>
      </c>
      <c r="T523" s="126">
        <f t="shared" si="136"/>
        <v>4499.0548204158795</v>
      </c>
      <c r="U523" s="126">
        <f>MAX(U524)</f>
        <v>5953.3698802772524</v>
      </c>
    </row>
    <row r="524" spans="1:21" s="67" customFormat="1" ht="61.5" x14ac:dyDescent="0.9">
      <c r="A524" s="67">
        <v>1</v>
      </c>
      <c r="B524" s="118">
        <f>SUBTOTAL(103,$A$16:A524)</f>
        <v>444</v>
      </c>
      <c r="C524" s="115" t="s">
        <v>228</v>
      </c>
      <c r="D524" s="122">
        <v>1966</v>
      </c>
      <c r="E524" s="127"/>
      <c r="F524" s="127" t="s">
        <v>274</v>
      </c>
      <c r="G524" s="122">
        <v>2</v>
      </c>
      <c r="H524" s="122">
        <v>1</v>
      </c>
      <c r="I524" s="126">
        <v>317.39999999999998</v>
      </c>
      <c r="J524" s="126">
        <v>287.2</v>
      </c>
      <c r="K524" s="126">
        <v>212.6</v>
      </c>
      <c r="L524" s="124">
        <v>17</v>
      </c>
      <c r="M524" s="122" t="s">
        <v>272</v>
      </c>
      <c r="N524" s="122" t="s">
        <v>273</v>
      </c>
      <c r="O524" s="125" t="s">
        <v>275</v>
      </c>
      <c r="P524" s="126">
        <v>1428000</v>
      </c>
      <c r="Q524" s="126">
        <v>0</v>
      </c>
      <c r="R524" s="126">
        <v>0</v>
      </c>
      <c r="S524" s="126">
        <f>P524-Q524-R524</f>
        <v>1428000</v>
      </c>
      <c r="T524" s="126">
        <f t="shared" si="136"/>
        <v>4499.0548204158795</v>
      </c>
      <c r="U524" s="126">
        <v>5953.3698802772524</v>
      </c>
    </row>
    <row r="525" spans="1:21" s="67" customFormat="1" ht="61.5" x14ac:dyDescent="0.9">
      <c r="B525" s="115" t="s">
        <v>1371</v>
      </c>
      <c r="C525" s="115"/>
      <c r="D525" s="122" t="s">
        <v>943</v>
      </c>
      <c r="E525" s="122" t="s">
        <v>943</v>
      </c>
      <c r="F525" s="122" t="s">
        <v>943</v>
      </c>
      <c r="G525" s="122" t="s">
        <v>943</v>
      </c>
      <c r="H525" s="122" t="s">
        <v>943</v>
      </c>
      <c r="I525" s="123">
        <f>I526</f>
        <v>642</v>
      </c>
      <c r="J525" s="123">
        <f t="shared" ref="J525:L525" si="178">J526</f>
        <v>551.70000000000005</v>
      </c>
      <c r="K525" s="123">
        <f t="shared" si="178"/>
        <v>481.2</v>
      </c>
      <c r="L525" s="124">
        <f t="shared" si="178"/>
        <v>17</v>
      </c>
      <c r="M525" s="122" t="s">
        <v>943</v>
      </c>
      <c r="N525" s="122" t="s">
        <v>943</v>
      </c>
      <c r="O525" s="125" t="s">
        <v>943</v>
      </c>
      <c r="P525" s="126">
        <v>2199640.42</v>
      </c>
      <c r="Q525" s="126">
        <f t="shared" ref="Q525:S525" si="179">Q526</f>
        <v>0</v>
      </c>
      <c r="R525" s="126">
        <f t="shared" si="179"/>
        <v>0</v>
      </c>
      <c r="S525" s="126">
        <f t="shared" si="179"/>
        <v>2199640.42</v>
      </c>
      <c r="T525" s="126">
        <f t="shared" si="136"/>
        <v>3426.2311838006231</v>
      </c>
      <c r="U525" s="126">
        <f>MAX(U526)</f>
        <v>6517.310591900311</v>
      </c>
    </row>
    <row r="526" spans="1:21" s="67" customFormat="1" ht="61.5" x14ac:dyDescent="0.9">
      <c r="A526" s="67">
        <v>1</v>
      </c>
      <c r="B526" s="118">
        <f>SUBTOTAL(103,$A$16:A526)</f>
        <v>445</v>
      </c>
      <c r="C526" s="115" t="s">
        <v>1372</v>
      </c>
      <c r="D526" s="122">
        <v>1974</v>
      </c>
      <c r="E526" s="127"/>
      <c r="F526" s="127" t="s">
        <v>1447</v>
      </c>
      <c r="G526" s="122">
        <v>2</v>
      </c>
      <c r="H526" s="122">
        <v>2</v>
      </c>
      <c r="I526" s="126">
        <v>642</v>
      </c>
      <c r="J526" s="126">
        <v>551.70000000000005</v>
      </c>
      <c r="K526" s="126">
        <v>481.2</v>
      </c>
      <c r="L526" s="124">
        <v>17</v>
      </c>
      <c r="M526" s="122" t="s">
        <v>272</v>
      </c>
      <c r="N526" s="122" t="s">
        <v>276</v>
      </c>
      <c r="O526" s="125" t="s">
        <v>1454</v>
      </c>
      <c r="P526" s="126">
        <v>2199640.42</v>
      </c>
      <c r="Q526" s="126">
        <v>0</v>
      </c>
      <c r="R526" s="126">
        <v>0</v>
      </c>
      <c r="S526" s="126">
        <f>P526-Q526-R526</f>
        <v>2199640.42</v>
      </c>
      <c r="T526" s="126">
        <f t="shared" ref="T526:T589" si="180">P526/I526</f>
        <v>3426.2311838006231</v>
      </c>
      <c r="U526" s="126">
        <v>6517.310591900311</v>
      </c>
    </row>
    <row r="527" spans="1:21" s="67" customFormat="1" ht="61.5" x14ac:dyDescent="0.9">
      <c r="B527" s="115" t="s">
        <v>804</v>
      </c>
      <c r="C527" s="115"/>
      <c r="D527" s="122" t="s">
        <v>943</v>
      </c>
      <c r="E527" s="122" t="s">
        <v>943</v>
      </c>
      <c r="F527" s="122" t="s">
        <v>943</v>
      </c>
      <c r="G527" s="122" t="s">
        <v>943</v>
      </c>
      <c r="H527" s="122" t="s">
        <v>943</v>
      </c>
      <c r="I527" s="123">
        <f>I528+I642+I655+I711+I732+I736+I749+I752+I757+I760+I763+I766+I768+I770+I777+I780+I782+I784+I786+I788+I790+I792+I794+I803+I805+I808+I810+I812+I817+I820+I822+I824+I826+I828+I830+I832+I834+I839+I837+I841+I847+I850+I852+I854+I856+I858+I862+I866+I869+I871+I873+I875+I879+I881+I884+I886</f>
        <v>808368.1100000001</v>
      </c>
      <c r="J527" s="123">
        <f>J528+J642+J655+J711+J732+J736+J749+J752+J757+J760+J763+J766+J768+J770+J777+J780+J782+J784+J786+J788+J790+J792+J794+J803+J805+J808+J810+J812+J817+J820+J822+J824+J826+J828+J830+J832+J834+J839+J837+J841+J847+J850+J852+J854+J856+J858+J862+J866+J869+J871+J873+J875+J879+J881+J884+J886</f>
        <v>650656.63000000024</v>
      </c>
      <c r="K527" s="123">
        <f>K528+K642+K655+K711+K732+K736+K749+K752+K757+K760+K763+K766+K768+K770+K777+K780+K782+K784+K786+K788+K790+K792+K794+K803+K805+K808+K810+K812+K817+K820+K822+K824+K826+K828+K830+K832+K834+K839+K837+K841+K847+K850+K852+K854+K856+K858+K862+K866+K869+K871+K873+K875+K879+K881+K884+K886</f>
        <v>598248.83000000054</v>
      </c>
      <c r="L527" s="124">
        <f>L528+L642+L655+L711+L732+L736+L749+L752+L757+L760+L763+L766+L768+L770+L777+L780+L782+L784+L786+L788+L790+L792+L794+L803+L805+L808+L810+L812+L817+L820+L822+L824+L826+L828+L830+L832+L834+L839+L837+L841+L847+L850+L852+L854+L856+L858+L862+L866+L869+L871+L873+L875+L879+L881+L884+L886</f>
        <v>31015</v>
      </c>
      <c r="M527" s="122" t="s">
        <v>943</v>
      </c>
      <c r="N527" s="122" t="s">
        <v>943</v>
      </c>
      <c r="O527" s="125" t="s">
        <v>943</v>
      </c>
      <c r="P527" s="123">
        <v>799016824.95999992</v>
      </c>
      <c r="Q527" s="123">
        <f>Q528+Q642+Q655+Q711+Q732+Q736+Q749+Q752+Q757+Q760+Q763+Q766+Q768+Q770+Q777+Q780+Q782+Q784+Q786+Q788+Q790+Q792+Q794+Q803+Q805+Q808+Q810+Q812+Q817+Q820+Q822+Q824+Q826+Q828+Q830+Q832+Q834+Q839+Q837+Q841+Q847+Q850+Q852+Q854+Q856+Q858+Q862+Q866+Q869+Q871+Q873+Q875+Q879+Q881+Q884+Q886</f>
        <v>0</v>
      </c>
      <c r="R527" s="123">
        <f>R528+R642+R655+R711+R732+R736+R749+R752+R757+R760+R763+R766+R768+R770+R777+R780+R782+R784+R786+R788+R790+R792+R794+R803+R805+R808+R810+R812+R817+R820+R822+R824+R826+R828+R830+R832+R834+R839+R837+R841+R847+R850+R852+R854+R856+R858+R862+R866+R869+R871+R873+R875+R879+R881+R884+R886</f>
        <v>2523423.19</v>
      </c>
      <c r="S527" s="123">
        <f>S528+S642+S655+S711+S732+S736+S749+S752+S757+S760+S763+S766+S768+S770+S777+S780+S782+S784+S786+S788+S790+S792+S794+S803+S805+S808+S810+S812+S817+S820+S822+S824+S826+S828+S830+S832+S834+S839+S837+S841+S847+S850+S852+S854+S856+S858+S862+S866+S869+S871+S873+S875+S879+S881+S884+S886</f>
        <v>796493401.76999998</v>
      </c>
      <c r="T527" s="126">
        <f t="shared" si="180"/>
        <v>988.43189764128601</v>
      </c>
      <c r="U527" s="126">
        <f>MAX(U528:U887)</f>
        <v>10323.771475641328</v>
      </c>
    </row>
    <row r="528" spans="1:21" s="67" customFormat="1" ht="61.5" x14ac:dyDescent="0.9">
      <c r="B528" s="115" t="s">
        <v>1170</v>
      </c>
      <c r="C528" s="119"/>
      <c r="D528" s="122" t="s">
        <v>943</v>
      </c>
      <c r="E528" s="122" t="s">
        <v>943</v>
      </c>
      <c r="F528" s="122" t="s">
        <v>943</v>
      </c>
      <c r="G528" s="122" t="s">
        <v>943</v>
      </c>
      <c r="H528" s="122" t="s">
        <v>943</v>
      </c>
      <c r="I528" s="123">
        <f>SUM(I529:I641)</f>
        <v>404972.00000000006</v>
      </c>
      <c r="J528" s="123">
        <f>SUM(J529:J641)</f>
        <v>337956.59999999986</v>
      </c>
      <c r="K528" s="123">
        <f>SUM(K529:K641)</f>
        <v>289316.25000000012</v>
      </c>
      <c r="L528" s="124">
        <f>SUM(L529:L641)</f>
        <v>16239</v>
      </c>
      <c r="M528" s="122" t="s">
        <v>943</v>
      </c>
      <c r="N528" s="122" t="s">
        <v>943</v>
      </c>
      <c r="O528" s="125" t="s">
        <v>943</v>
      </c>
      <c r="P528" s="123">
        <v>225509821.20999989</v>
      </c>
      <c r="Q528" s="123">
        <f>SUM(Q529:Q641)</f>
        <v>0</v>
      </c>
      <c r="R528" s="123">
        <f>SUM(R529:R641)</f>
        <v>0</v>
      </c>
      <c r="S528" s="123">
        <f>SUM(S529:S641)</f>
        <v>225509821.20999989</v>
      </c>
      <c r="T528" s="126">
        <f t="shared" si="180"/>
        <v>556.85287182817547</v>
      </c>
      <c r="U528" s="126">
        <f>MAX(U529:U583)</f>
        <v>7864.0303070265809</v>
      </c>
    </row>
    <row r="529" spans="1:21" s="67" customFormat="1" ht="61.5" x14ac:dyDescent="0.9">
      <c r="A529" s="67">
        <v>1</v>
      </c>
      <c r="B529" s="118">
        <f>SUBTOTAL(103,$A529:A$529)</f>
        <v>1</v>
      </c>
      <c r="C529" s="115" t="s">
        <v>553</v>
      </c>
      <c r="D529" s="122" t="s">
        <v>362</v>
      </c>
      <c r="E529" s="127"/>
      <c r="F529" s="127" t="s">
        <v>274</v>
      </c>
      <c r="G529" s="122" t="s">
        <v>363</v>
      </c>
      <c r="H529" s="122">
        <v>4</v>
      </c>
      <c r="I529" s="123">
        <v>3486.3</v>
      </c>
      <c r="J529" s="123">
        <v>3020.1</v>
      </c>
      <c r="K529" s="123">
        <v>2123</v>
      </c>
      <c r="L529" s="124">
        <v>136</v>
      </c>
      <c r="M529" s="122" t="s">
        <v>272</v>
      </c>
      <c r="N529" s="122" t="s">
        <v>276</v>
      </c>
      <c r="O529" s="125" t="s">
        <v>1044</v>
      </c>
      <c r="P529" s="126">
        <v>4625631.57</v>
      </c>
      <c r="Q529" s="126">
        <v>0</v>
      </c>
      <c r="R529" s="126">
        <v>0</v>
      </c>
      <c r="S529" s="126">
        <f t="shared" ref="S529:S592" si="181">P529-Q529-R529</f>
        <v>4625631.57</v>
      </c>
      <c r="T529" s="126">
        <f t="shared" si="180"/>
        <v>1326.8025040874279</v>
      </c>
      <c r="U529" s="126">
        <v>1819.5955023950892</v>
      </c>
    </row>
    <row r="530" spans="1:21" s="67" customFormat="1" ht="61.5" x14ac:dyDescent="0.9">
      <c r="A530" s="67">
        <v>1</v>
      </c>
      <c r="B530" s="118">
        <f>SUBTOTAL(103,$A$529:A530)</f>
        <v>2</v>
      </c>
      <c r="C530" s="115" t="s">
        <v>554</v>
      </c>
      <c r="D530" s="122" t="s">
        <v>364</v>
      </c>
      <c r="E530" s="127"/>
      <c r="F530" s="127" t="s">
        <v>321</v>
      </c>
      <c r="G530" s="122" t="s">
        <v>363</v>
      </c>
      <c r="H530" s="122">
        <v>4</v>
      </c>
      <c r="I530" s="123">
        <v>3788.4</v>
      </c>
      <c r="J530" s="123">
        <v>3519.1</v>
      </c>
      <c r="K530" s="123">
        <v>2414</v>
      </c>
      <c r="L530" s="124">
        <v>100</v>
      </c>
      <c r="M530" s="122" t="s">
        <v>272</v>
      </c>
      <c r="N530" s="122" t="s">
        <v>276</v>
      </c>
      <c r="O530" s="125" t="s">
        <v>1044</v>
      </c>
      <c r="P530" s="126">
        <v>4549323.9899999993</v>
      </c>
      <c r="Q530" s="126">
        <v>0</v>
      </c>
      <c r="R530" s="126">
        <v>0</v>
      </c>
      <c r="S530" s="126">
        <f t="shared" si="181"/>
        <v>4549323.9899999993</v>
      </c>
      <c r="T530" s="126">
        <f t="shared" si="180"/>
        <v>1200.8562955337343</v>
      </c>
      <c r="U530" s="126">
        <v>1710.1222679759262</v>
      </c>
    </row>
    <row r="531" spans="1:21" s="67" customFormat="1" ht="61.5" x14ac:dyDescent="0.9">
      <c r="A531" s="67">
        <v>1</v>
      </c>
      <c r="B531" s="118">
        <f>SUBTOTAL(103,$A$529:A531)</f>
        <v>3</v>
      </c>
      <c r="C531" s="115" t="s">
        <v>555</v>
      </c>
      <c r="D531" s="122" t="s">
        <v>324</v>
      </c>
      <c r="E531" s="127"/>
      <c r="F531" s="127" t="s">
        <v>321</v>
      </c>
      <c r="G531" s="122" t="s">
        <v>363</v>
      </c>
      <c r="H531" s="122">
        <v>4</v>
      </c>
      <c r="I531" s="123">
        <v>3837.6</v>
      </c>
      <c r="J531" s="123">
        <v>3545.4</v>
      </c>
      <c r="K531" s="123">
        <v>2406.4</v>
      </c>
      <c r="L531" s="124">
        <v>162</v>
      </c>
      <c r="M531" s="122" t="s">
        <v>272</v>
      </c>
      <c r="N531" s="122" t="s">
        <v>276</v>
      </c>
      <c r="O531" s="125" t="s">
        <v>1044</v>
      </c>
      <c r="P531" s="126">
        <v>4549323.9899999993</v>
      </c>
      <c r="Q531" s="126">
        <v>0</v>
      </c>
      <c r="R531" s="126">
        <v>0</v>
      </c>
      <c r="S531" s="126">
        <f t="shared" si="181"/>
        <v>4549323.9899999993</v>
      </c>
      <c r="T531" s="126">
        <f t="shared" si="180"/>
        <v>1185.4607020012506</v>
      </c>
      <c r="U531" s="126">
        <v>1688.1976235146965</v>
      </c>
    </row>
    <row r="532" spans="1:21" s="67" customFormat="1" ht="61.5" x14ac:dyDescent="0.9">
      <c r="A532" s="67">
        <v>1</v>
      </c>
      <c r="B532" s="118">
        <f>SUBTOTAL(103,$A$529:A532)</f>
        <v>4</v>
      </c>
      <c r="C532" s="115" t="s">
        <v>556</v>
      </c>
      <c r="D532" s="122" t="s">
        <v>320</v>
      </c>
      <c r="E532" s="127"/>
      <c r="F532" s="127" t="s">
        <v>321</v>
      </c>
      <c r="G532" s="122" t="s">
        <v>363</v>
      </c>
      <c r="H532" s="122">
        <v>3</v>
      </c>
      <c r="I532" s="123">
        <v>2494.5</v>
      </c>
      <c r="J532" s="123">
        <v>2290.6</v>
      </c>
      <c r="K532" s="123">
        <v>2237.6</v>
      </c>
      <c r="L532" s="124">
        <v>118</v>
      </c>
      <c r="M532" s="122" t="s">
        <v>272</v>
      </c>
      <c r="N532" s="122" t="s">
        <v>276</v>
      </c>
      <c r="O532" s="125" t="s">
        <v>1053</v>
      </c>
      <c r="P532" s="126">
        <v>3263607.5799999996</v>
      </c>
      <c r="Q532" s="126">
        <v>0</v>
      </c>
      <c r="R532" s="126">
        <v>0</v>
      </c>
      <c r="S532" s="126">
        <f t="shared" si="181"/>
        <v>3263607.5799999996</v>
      </c>
      <c r="T532" s="126">
        <f t="shared" si="180"/>
        <v>1308.3213389456803</v>
      </c>
      <c r="U532" s="126">
        <v>1777.7050899979956</v>
      </c>
    </row>
    <row r="533" spans="1:21" s="67" customFormat="1" ht="61.5" x14ac:dyDescent="0.9">
      <c r="A533" s="67">
        <v>1</v>
      </c>
      <c r="B533" s="118">
        <f>SUBTOTAL(103,$A$529:A533)</f>
        <v>5</v>
      </c>
      <c r="C533" s="115" t="s">
        <v>557</v>
      </c>
      <c r="D533" s="122">
        <v>1993</v>
      </c>
      <c r="E533" s="127"/>
      <c r="F533" s="127" t="s">
        <v>321</v>
      </c>
      <c r="G533" s="122">
        <v>9</v>
      </c>
      <c r="H533" s="122">
        <v>1</v>
      </c>
      <c r="I533" s="123">
        <v>2320.3000000000002</v>
      </c>
      <c r="J533" s="123">
        <v>2320.3000000000002</v>
      </c>
      <c r="K533" s="123">
        <v>2280.8000000000002</v>
      </c>
      <c r="L533" s="124">
        <v>90</v>
      </c>
      <c r="M533" s="122" t="s">
        <v>272</v>
      </c>
      <c r="N533" s="122" t="s">
        <v>276</v>
      </c>
      <c r="O533" s="125" t="s">
        <v>359</v>
      </c>
      <c r="P533" s="126">
        <v>2149444.66</v>
      </c>
      <c r="Q533" s="126">
        <v>0</v>
      </c>
      <c r="R533" s="126">
        <v>0</v>
      </c>
      <c r="S533" s="126">
        <f t="shared" si="181"/>
        <v>2149444.66</v>
      </c>
      <c r="T533" s="126">
        <f t="shared" si="180"/>
        <v>926.36497866655168</v>
      </c>
      <c r="U533" s="126">
        <v>968.97082273843887</v>
      </c>
    </row>
    <row r="534" spans="1:21" s="67" customFormat="1" ht="61.5" x14ac:dyDescent="0.9">
      <c r="A534" s="67">
        <v>1</v>
      </c>
      <c r="B534" s="118">
        <f>SUBTOTAL(103,$A$529:A534)</f>
        <v>6</v>
      </c>
      <c r="C534" s="115" t="s">
        <v>558</v>
      </c>
      <c r="D534" s="122">
        <v>1995</v>
      </c>
      <c r="E534" s="127"/>
      <c r="F534" s="127" t="s">
        <v>321</v>
      </c>
      <c r="G534" s="122">
        <v>9</v>
      </c>
      <c r="H534" s="122">
        <v>1</v>
      </c>
      <c r="I534" s="123">
        <v>2297.9</v>
      </c>
      <c r="J534" s="123">
        <v>2297.9</v>
      </c>
      <c r="K534" s="123">
        <v>2290.8000000000002</v>
      </c>
      <c r="L534" s="124">
        <v>95</v>
      </c>
      <c r="M534" s="122" t="s">
        <v>272</v>
      </c>
      <c r="N534" s="122" t="s">
        <v>276</v>
      </c>
      <c r="O534" s="125" t="s">
        <v>359</v>
      </c>
      <c r="P534" s="126">
        <v>2149444.66</v>
      </c>
      <c r="Q534" s="126">
        <v>0</v>
      </c>
      <c r="R534" s="126">
        <v>0</v>
      </c>
      <c r="S534" s="126">
        <f t="shared" si="181"/>
        <v>2149444.66</v>
      </c>
      <c r="T534" s="126">
        <f t="shared" si="180"/>
        <v>935.39521302058404</v>
      </c>
      <c r="U534" s="126">
        <v>978.41638017320156</v>
      </c>
    </row>
    <row r="535" spans="1:21" s="67" customFormat="1" ht="61.5" x14ac:dyDescent="0.9">
      <c r="A535" s="67">
        <v>1</v>
      </c>
      <c r="B535" s="118">
        <f>SUBTOTAL(103,$A$529:A535)</f>
        <v>7</v>
      </c>
      <c r="C535" s="115" t="s">
        <v>559</v>
      </c>
      <c r="D535" s="122" t="s">
        <v>315</v>
      </c>
      <c r="E535" s="127"/>
      <c r="F535" s="127" t="s">
        <v>321</v>
      </c>
      <c r="G535" s="122" t="s">
        <v>363</v>
      </c>
      <c r="H535" s="122">
        <v>5</v>
      </c>
      <c r="I535" s="123">
        <v>3875.8</v>
      </c>
      <c r="J535" s="123">
        <v>3540</v>
      </c>
      <c r="K535" s="123">
        <v>2482.6999999999998</v>
      </c>
      <c r="L535" s="124">
        <v>168</v>
      </c>
      <c r="M535" s="122" t="s">
        <v>272</v>
      </c>
      <c r="N535" s="122" t="s">
        <v>276</v>
      </c>
      <c r="O535" s="125" t="s">
        <v>1044</v>
      </c>
      <c r="P535" s="126">
        <v>4642018.24</v>
      </c>
      <c r="Q535" s="126">
        <v>0</v>
      </c>
      <c r="R535" s="126">
        <v>0</v>
      </c>
      <c r="S535" s="126">
        <f t="shared" si="181"/>
        <v>4642018.24</v>
      </c>
      <c r="T535" s="126">
        <f t="shared" si="180"/>
        <v>1197.6929253315445</v>
      </c>
      <c r="U535" s="126">
        <v>1706.382837091697</v>
      </c>
    </row>
    <row r="536" spans="1:21" s="67" customFormat="1" ht="61.5" x14ac:dyDescent="0.9">
      <c r="A536" s="67">
        <v>1</v>
      </c>
      <c r="B536" s="118">
        <f>SUBTOTAL(103,$A$529:A536)</f>
        <v>8</v>
      </c>
      <c r="C536" s="115" t="s">
        <v>560</v>
      </c>
      <c r="D536" s="122" t="s">
        <v>365</v>
      </c>
      <c r="E536" s="127"/>
      <c r="F536" s="127" t="s">
        <v>274</v>
      </c>
      <c r="G536" s="122" t="s">
        <v>363</v>
      </c>
      <c r="H536" s="122">
        <v>2</v>
      </c>
      <c r="I536" s="123">
        <v>2473.3000000000002</v>
      </c>
      <c r="J536" s="123">
        <v>1702</v>
      </c>
      <c r="K536" s="123">
        <v>1117.3</v>
      </c>
      <c r="L536" s="124">
        <v>84</v>
      </c>
      <c r="M536" s="122" t="s">
        <v>272</v>
      </c>
      <c r="N536" s="122" t="s">
        <v>276</v>
      </c>
      <c r="O536" s="125" t="s">
        <v>1046</v>
      </c>
      <c r="P536" s="126">
        <v>3518296.02</v>
      </c>
      <c r="Q536" s="126">
        <v>0</v>
      </c>
      <c r="R536" s="126">
        <v>0</v>
      </c>
      <c r="S536" s="126">
        <f t="shared" si="181"/>
        <v>3518296.02</v>
      </c>
      <c r="T536" s="126">
        <f t="shared" si="180"/>
        <v>1422.5108235960051</v>
      </c>
      <c r="U536" s="126">
        <v>1937.2840739093517</v>
      </c>
    </row>
    <row r="537" spans="1:21" s="67" customFormat="1" ht="61.5" x14ac:dyDescent="0.9">
      <c r="A537" s="67">
        <v>1</v>
      </c>
      <c r="B537" s="118">
        <f>SUBTOTAL(103,$A$529:A537)</f>
        <v>9</v>
      </c>
      <c r="C537" s="115" t="s">
        <v>1483</v>
      </c>
      <c r="D537" s="122">
        <v>1986</v>
      </c>
      <c r="E537" s="127"/>
      <c r="F537" s="127" t="s">
        <v>321</v>
      </c>
      <c r="G537" s="122">
        <v>9</v>
      </c>
      <c r="H537" s="122">
        <v>6</v>
      </c>
      <c r="I537" s="123">
        <v>12835.6</v>
      </c>
      <c r="J537" s="123">
        <v>11520.6</v>
      </c>
      <c r="K537" s="123">
        <v>11110.5</v>
      </c>
      <c r="L537" s="124">
        <v>540</v>
      </c>
      <c r="M537" s="122" t="s">
        <v>272</v>
      </c>
      <c r="N537" s="122" t="s">
        <v>276</v>
      </c>
      <c r="O537" s="125" t="s">
        <v>1169</v>
      </c>
      <c r="P537" s="126">
        <v>13689818</v>
      </c>
      <c r="Q537" s="126">
        <v>0</v>
      </c>
      <c r="R537" s="126">
        <v>0</v>
      </c>
      <c r="S537" s="126">
        <f t="shared" si="181"/>
        <v>13689818</v>
      </c>
      <c r="T537" s="126">
        <f t="shared" si="180"/>
        <v>1066.5506871513603</v>
      </c>
      <c r="U537" s="126">
        <f>T537</f>
        <v>1066.5506871513603</v>
      </c>
    </row>
    <row r="538" spans="1:21" s="67" customFormat="1" ht="61.5" x14ac:dyDescent="0.9">
      <c r="A538" s="67">
        <v>1</v>
      </c>
      <c r="B538" s="118">
        <f>SUBTOTAL(103,$A$529:A538)</f>
        <v>10</v>
      </c>
      <c r="C538" s="115" t="s">
        <v>561</v>
      </c>
      <c r="D538" s="122" t="s">
        <v>366</v>
      </c>
      <c r="E538" s="127"/>
      <c r="F538" s="127" t="s">
        <v>274</v>
      </c>
      <c r="G538" s="122" t="s">
        <v>322</v>
      </c>
      <c r="H538" s="122">
        <v>2</v>
      </c>
      <c r="I538" s="123">
        <v>944.2</v>
      </c>
      <c r="J538" s="123">
        <v>863.6</v>
      </c>
      <c r="K538" s="123">
        <v>732.5</v>
      </c>
      <c r="L538" s="124">
        <v>48</v>
      </c>
      <c r="M538" s="122" t="s">
        <v>272</v>
      </c>
      <c r="N538" s="122" t="s">
        <v>276</v>
      </c>
      <c r="O538" s="125" t="s">
        <v>360</v>
      </c>
      <c r="P538" s="126">
        <v>2570383.31</v>
      </c>
      <c r="Q538" s="126">
        <v>0</v>
      </c>
      <c r="R538" s="126">
        <v>0</v>
      </c>
      <c r="S538" s="126">
        <f t="shared" si="181"/>
        <v>2570383.31</v>
      </c>
      <c r="T538" s="126">
        <f t="shared" si="180"/>
        <v>2722.2869201440371</v>
      </c>
      <c r="U538" s="126">
        <v>3716.6452022876506</v>
      </c>
    </row>
    <row r="539" spans="1:21" s="67" customFormat="1" ht="61.5" x14ac:dyDescent="0.9">
      <c r="A539" s="67">
        <v>1</v>
      </c>
      <c r="B539" s="118">
        <f>SUBTOTAL(103,$A$529:A539)</f>
        <v>11</v>
      </c>
      <c r="C539" s="115" t="s">
        <v>562</v>
      </c>
      <c r="D539" s="122" t="s">
        <v>367</v>
      </c>
      <c r="E539" s="127"/>
      <c r="F539" s="127" t="s">
        <v>274</v>
      </c>
      <c r="G539" s="122" t="s">
        <v>363</v>
      </c>
      <c r="H539" s="122">
        <v>1</v>
      </c>
      <c r="I539" s="123">
        <v>4677.8999999999996</v>
      </c>
      <c r="J539" s="123">
        <v>2936.3</v>
      </c>
      <c r="K539" s="123">
        <v>2632.1</v>
      </c>
      <c r="L539" s="124">
        <v>196</v>
      </c>
      <c r="M539" s="122" t="s">
        <v>272</v>
      </c>
      <c r="N539" s="122" t="s">
        <v>276</v>
      </c>
      <c r="O539" s="125" t="s">
        <v>1048</v>
      </c>
      <c r="P539" s="126">
        <v>4554037.87</v>
      </c>
      <c r="Q539" s="126">
        <v>0</v>
      </c>
      <c r="R539" s="126">
        <v>0</v>
      </c>
      <c r="S539" s="126">
        <f t="shared" si="181"/>
        <v>4554037.87</v>
      </c>
      <c r="T539" s="126">
        <f t="shared" si="180"/>
        <v>973.52185168558549</v>
      </c>
      <c r="U539" s="126">
        <v>1334.638312939567</v>
      </c>
    </row>
    <row r="540" spans="1:21" s="67" customFormat="1" ht="61.5" x14ac:dyDescent="0.9">
      <c r="A540" s="67">
        <v>1</v>
      </c>
      <c r="B540" s="118">
        <f>SUBTOTAL(103,$A$529:A540)</f>
        <v>12</v>
      </c>
      <c r="C540" s="115" t="s">
        <v>563</v>
      </c>
      <c r="D540" s="122">
        <v>1985</v>
      </c>
      <c r="E540" s="127"/>
      <c r="F540" s="127" t="s">
        <v>274</v>
      </c>
      <c r="G540" s="122" t="s">
        <v>363</v>
      </c>
      <c r="H540" s="122">
        <v>6</v>
      </c>
      <c r="I540" s="123">
        <v>5781</v>
      </c>
      <c r="J540" s="123">
        <v>4320.2</v>
      </c>
      <c r="K540" s="123">
        <v>2890.2</v>
      </c>
      <c r="L540" s="124">
        <v>208</v>
      </c>
      <c r="M540" s="122" t="s">
        <v>272</v>
      </c>
      <c r="N540" s="122" t="s">
        <v>276</v>
      </c>
      <c r="O540" s="125" t="s">
        <v>1044</v>
      </c>
      <c r="P540" s="126">
        <v>3759019.5700000003</v>
      </c>
      <c r="Q540" s="126">
        <v>0</v>
      </c>
      <c r="R540" s="126">
        <v>0</v>
      </c>
      <c r="S540" s="126">
        <f t="shared" si="181"/>
        <v>3759019.5700000003</v>
      </c>
      <c r="T540" s="126">
        <f t="shared" si="180"/>
        <v>650.23690883930124</v>
      </c>
      <c r="U540" s="126">
        <v>887.20172980453208</v>
      </c>
    </row>
    <row r="541" spans="1:21" s="67" customFormat="1" ht="61.5" x14ac:dyDescent="0.9">
      <c r="A541" s="67">
        <v>1</v>
      </c>
      <c r="B541" s="118">
        <f>SUBTOTAL(103,$A$529:A541)</f>
        <v>13</v>
      </c>
      <c r="C541" s="115" t="s">
        <v>564</v>
      </c>
      <c r="D541" s="122" t="s">
        <v>317</v>
      </c>
      <c r="E541" s="127"/>
      <c r="F541" s="127" t="s">
        <v>274</v>
      </c>
      <c r="G541" s="122" t="s">
        <v>322</v>
      </c>
      <c r="H541" s="122">
        <v>1</v>
      </c>
      <c r="I541" s="123">
        <v>1243.7</v>
      </c>
      <c r="J541" s="123">
        <v>761.1</v>
      </c>
      <c r="K541" s="123">
        <v>562.1</v>
      </c>
      <c r="L541" s="124">
        <v>53</v>
      </c>
      <c r="M541" s="122" t="s">
        <v>272</v>
      </c>
      <c r="N541" s="122" t="s">
        <v>276</v>
      </c>
      <c r="O541" s="125" t="s">
        <v>1048</v>
      </c>
      <c r="P541" s="126">
        <v>2589386.2599999998</v>
      </c>
      <c r="Q541" s="126">
        <v>0</v>
      </c>
      <c r="R541" s="126">
        <v>0</v>
      </c>
      <c r="S541" s="126">
        <f t="shared" si="181"/>
        <v>2589386.2599999998</v>
      </c>
      <c r="T541" s="126">
        <f t="shared" si="180"/>
        <v>2082.002299589933</v>
      </c>
      <c r="U541" s="126">
        <v>2843.3309318967595</v>
      </c>
    </row>
    <row r="542" spans="1:21" s="67" customFormat="1" ht="61.5" x14ac:dyDescent="0.9">
      <c r="A542" s="67">
        <v>1</v>
      </c>
      <c r="B542" s="118">
        <f>SUBTOTAL(103,$A$529:A542)</f>
        <v>14</v>
      </c>
      <c r="C542" s="115" t="s">
        <v>565</v>
      </c>
      <c r="D542" s="122" t="s">
        <v>368</v>
      </c>
      <c r="E542" s="127"/>
      <c r="F542" s="127" t="s">
        <v>274</v>
      </c>
      <c r="G542" s="122" t="s">
        <v>369</v>
      </c>
      <c r="H542" s="122">
        <v>1</v>
      </c>
      <c r="I542" s="123">
        <v>7585.7</v>
      </c>
      <c r="J542" s="123">
        <v>5648.6</v>
      </c>
      <c r="K542" s="123">
        <v>3448.8</v>
      </c>
      <c r="L542" s="124">
        <v>338</v>
      </c>
      <c r="M542" s="122" t="s">
        <v>272</v>
      </c>
      <c r="N542" s="122" t="s">
        <v>276</v>
      </c>
      <c r="O542" s="125" t="s">
        <v>1048</v>
      </c>
      <c r="P542" s="126">
        <v>5092635.92</v>
      </c>
      <c r="Q542" s="126">
        <v>0</v>
      </c>
      <c r="R542" s="126">
        <v>0</v>
      </c>
      <c r="S542" s="126">
        <f t="shared" si="181"/>
        <v>5092635.92</v>
      </c>
      <c r="T542" s="126">
        <f t="shared" si="180"/>
        <v>671.34686581330664</v>
      </c>
      <c r="U542" s="126">
        <v>922.56048749620993</v>
      </c>
    </row>
    <row r="543" spans="1:21" s="67" customFormat="1" ht="61.5" x14ac:dyDescent="0.9">
      <c r="A543" s="67">
        <v>1</v>
      </c>
      <c r="B543" s="118">
        <f>SUBTOTAL(103,$A$529:A543)</f>
        <v>15</v>
      </c>
      <c r="C543" s="115" t="s">
        <v>566</v>
      </c>
      <c r="D543" s="122" t="s">
        <v>323</v>
      </c>
      <c r="E543" s="127"/>
      <c r="F543" s="127" t="s">
        <v>321</v>
      </c>
      <c r="G543" s="122" t="s">
        <v>369</v>
      </c>
      <c r="H543" s="122">
        <v>2</v>
      </c>
      <c r="I543" s="123">
        <v>4990.2</v>
      </c>
      <c r="J543" s="123">
        <v>3973.4</v>
      </c>
      <c r="K543" s="123">
        <v>3799.4</v>
      </c>
      <c r="L543" s="124">
        <v>180</v>
      </c>
      <c r="M543" s="122" t="s">
        <v>272</v>
      </c>
      <c r="N543" s="122" t="s">
        <v>276</v>
      </c>
      <c r="O543" s="125" t="s">
        <v>1045</v>
      </c>
      <c r="P543" s="126">
        <v>3229425.65</v>
      </c>
      <c r="Q543" s="126">
        <v>0</v>
      </c>
      <c r="R543" s="126">
        <v>0</v>
      </c>
      <c r="S543" s="126">
        <f t="shared" si="181"/>
        <v>3229425.65</v>
      </c>
      <c r="T543" s="126">
        <f t="shared" si="180"/>
        <v>647.15355095988139</v>
      </c>
      <c r="U543" s="126">
        <v>879.03701254458747</v>
      </c>
    </row>
    <row r="544" spans="1:21" s="67" customFormat="1" ht="61.5" x14ac:dyDescent="0.9">
      <c r="A544" s="67">
        <v>1</v>
      </c>
      <c r="B544" s="118">
        <f>SUBTOTAL(103,$A$529:A544)</f>
        <v>16</v>
      </c>
      <c r="C544" s="115" t="s">
        <v>567</v>
      </c>
      <c r="D544" s="122" t="s">
        <v>315</v>
      </c>
      <c r="E544" s="127"/>
      <c r="F544" s="127" t="s">
        <v>274</v>
      </c>
      <c r="G544" s="122" t="s">
        <v>363</v>
      </c>
      <c r="H544" s="122">
        <v>4</v>
      </c>
      <c r="I544" s="123">
        <v>4104.5</v>
      </c>
      <c r="J544" s="123">
        <v>3757.7</v>
      </c>
      <c r="K544" s="123">
        <v>3241.9</v>
      </c>
      <c r="L544" s="124">
        <v>238</v>
      </c>
      <c r="M544" s="122" t="s">
        <v>272</v>
      </c>
      <c r="N544" s="122" t="s">
        <v>276</v>
      </c>
      <c r="O544" s="125" t="s">
        <v>1054</v>
      </c>
      <c r="P544" s="126">
        <v>5398710.1299999999</v>
      </c>
      <c r="Q544" s="126">
        <v>0</v>
      </c>
      <c r="R544" s="126">
        <v>0</v>
      </c>
      <c r="S544" s="126">
        <f t="shared" si="181"/>
        <v>5398710.1299999999</v>
      </c>
      <c r="T544" s="126">
        <f t="shared" si="180"/>
        <v>1315.3149299549275</v>
      </c>
      <c r="U544" s="126">
        <v>1755.9928761115848</v>
      </c>
    </row>
    <row r="545" spans="1:21" s="67" customFormat="1" ht="61.5" x14ac:dyDescent="0.9">
      <c r="A545" s="67">
        <v>1</v>
      </c>
      <c r="B545" s="118">
        <f>SUBTOTAL(103,$A$529:A545)</f>
        <v>17</v>
      </c>
      <c r="C545" s="115" t="s">
        <v>568</v>
      </c>
      <c r="D545" s="122">
        <v>1970</v>
      </c>
      <c r="E545" s="127"/>
      <c r="F545" s="127" t="s">
        <v>274</v>
      </c>
      <c r="G545" s="122">
        <v>5</v>
      </c>
      <c r="H545" s="122">
        <v>4</v>
      </c>
      <c r="I545" s="123">
        <v>3511.62</v>
      </c>
      <c r="J545" s="123">
        <v>3361</v>
      </c>
      <c r="K545" s="123">
        <v>3735.6</v>
      </c>
      <c r="L545" s="124">
        <v>150</v>
      </c>
      <c r="M545" s="122" t="s">
        <v>272</v>
      </c>
      <c r="N545" s="122" t="s">
        <v>276</v>
      </c>
      <c r="O545" s="125" t="s">
        <v>359</v>
      </c>
      <c r="P545" s="126">
        <v>5145091.9399999995</v>
      </c>
      <c r="Q545" s="126">
        <v>0</v>
      </c>
      <c r="R545" s="126">
        <v>0</v>
      </c>
      <c r="S545" s="126">
        <f t="shared" si="181"/>
        <v>5145091.9399999995</v>
      </c>
      <c r="T545" s="126">
        <f t="shared" si="180"/>
        <v>1465.1619309606392</v>
      </c>
      <c r="U545" s="126">
        <v>2040.933056538008</v>
      </c>
    </row>
    <row r="546" spans="1:21" s="67" customFormat="1" ht="61.5" x14ac:dyDescent="0.9">
      <c r="A546" s="67">
        <v>1</v>
      </c>
      <c r="B546" s="118">
        <f>SUBTOTAL(103,$A$529:A546)</f>
        <v>18</v>
      </c>
      <c r="C546" s="115" t="s">
        <v>569</v>
      </c>
      <c r="D546" s="122" t="s">
        <v>325</v>
      </c>
      <c r="E546" s="127"/>
      <c r="F546" s="127" t="s">
        <v>274</v>
      </c>
      <c r="G546" s="122">
        <v>5</v>
      </c>
      <c r="H546" s="122">
        <v>4</v>
      </c>
      <c r="I546" s="123">
        <v>4873.3</v>
      </c>
      <c r="J546" s="123">
        <v>2941.2</v>
      </c>
      <c r="K546" s="123">
        <v>2775.3</v>
      </c>
      <c r="L546" s="124">
        <v>144</v>
      </c>
      <c r="M546" s="122" t="s">
        <v>272</v>
      </c>
      <c r="N546" s="122" t="s">
        <v>276</v>
      </c>
      <c r="O546" s="125" t="s">
        <v>1045</v>
      </c>
      <c r="P546" s="126">
        <v>4517275.3499999996</v>
      </c>
      <c r="Q546" s="126">
        <v>0</v>
      </c>
      <c r="R546" s="126">
        <v>0</v>
      </c>
      <c r="S546" s="126">
        <f t="shared" si="181"/>
        <v>4517275.3499999996</v>
      </c>
      <c r="T546" s="126">
        <f t="shared" si="180"/>
        <v>926.94382656516109</v>
      </c>
      <c r="U546" s="126">
        <v>1357.108858473724</v>
      </c>
    </row>
    <row r="547" spans="1:21" s="67" customFormat="1" ht="61.5" x14ac:dyDescent="0.9">
      <c r="A547" s="67">
        <v>1</v>
      </c>
      <c r="B547" s="118">
        <f>SUBTOTAL(103,$A$529:A547)</f>
        <v>19</v>
      </c>
      <c r="C547" s="115" t="s">
        <v>848</v>
      </c>
      <c r="D547" s="122">
        <v>1961</v>
      </c>
      <c r="E547" s="127"/>
      <c r="F547" s="127" t="s">
        <v>274</v>
      </c>
      <c r="G547" s="122">
        <v>4</v>
      </c>
      <c r="H547" s="122">
        <v>4</v>
      </c>
      <c r="I547" s="123">
        <v>1116.9000000000001</v>
      </c>
      <c r="J547" s="123">
        <v>893.7</v>
      </c>
      <c r="K547" s="123">
        <v>707.8</v>
      </c>
      <c r="L547" s="124">
        <v>42</v>
      </c>
      <c r="M547" s="122" t="s">
        <v>272</v>
      </c>
      <c r="N547" s="122" t="s">
        <v>276</v>
      </c>
      <c r="O547" s="125" t="s">
        <v>1059</v>
      </c>
      <c r="P547" s="126">
        <v>2739901.57</v>
      </c>
      <c r="Q547" s="126">
        <v>0</v>
      </c>
      <c r="R547" s="126">
        <v>0</v>
      </c>
      <c r="S547" s="126">
        <f t="shared" si="181"/>
        <v>2739901.57</v>
      </c>
      <c r="T547" s="126">
        <f t="shared" si="180"/>
        <v>2453.1306025606586</v>
      </c>
      <c r="U547" s="126">
        <v>3836.8179335661202</v>
      </c>
    </row>
    <row r="548" spans="1:21" s="67" customFormat="1" ht="61.5" x14ac:dyDescent="0.9">
      <c r="A548" s="67">
        <v>1</v>
      </c>
      <c r="B548" s="118">
        <f>SUBTOTAL(103,$A$529:A548)</f>
        <v>20</v>
      </c>
      <c r="C548" s="115" t="s">
        <v>570</v>
      </c>
      <c r="D548" s="122" t="s">
        <v>317</v>
      </c>
      <c r="E548" s="127"/>
      <c r="F548" s="127" t="s">
        <v>321</v>
      </c>
      <c r="G548" s="122" t="s">
        <v>363</v>
      </c>
      <c r="H548" s="122">
        <v>4</v>
      </c>
      <c r="I548" s="123">
        <v>3904.9</v>
      </c>
      <c r="J548" s="123">
        <v>3572.3</v>
      </c>
      <c r="K548" s="123">
        <v>2529.9</v>
      </c>
      <c r="L548" s="124">
        <v>170</v>
      </c>
      <c r="M548" s="122" t="s">
        <v>272</v>
      </c>
      <c r="N548" s="122" t="s">
        <v>276</v>
      </c>
      <c r="O548" s="125" t="s">
        <v>1044</v>
      </c>
      <c r="P548" s="126">
        <v>4549323.9899999993</v>
      </c>
      <c r="Q548" s="126">
        <v>0</v>
      </c>
      <c r="R548" s="126">
        <v>0</v>
      </c>
      <c r="S548" s="126">
        <f t="shared" si="181"/>
        <v>4549323.9899999993</v>
      </c>
      <c r="T548" s="126">
        <f t="shared" si="180"/>
        <v>1165.0295756613484</v>
      </c>
      <c r="U548" s="126">
        <v>1659.1019488335166</v>
      </c>
    </row>
    <row r="549" spans="1:21" s="67" customFormat="1" ht="61.5" x14ac:dyDescent="0.9">
      <c r="A549" s="67">
        <v>1</v>
      </c>
      <c r="B549" s="118">
        <f>SUBTOTAL(103,$A$529:A549)</f>
        <v>21</v>
      </c>
      <c r="C549" s="115" t="s">
        <v>571</v>
      </c>
      <c r="D549" s="122" t="s">
        <v>317</v>
      </c>
      <c r="E549" s="127"/>
      <c r="F549" s="127" t="s">
        <v>321</v>
      </c>
      <c r="G549" s="122" t="s">
        <v>363</v>
      </c>
      <c r="H549" s="122">
        <v>3</v>
      </c>
      <c r="I549" s="123">
        <v>3361</v>
      </c>
      <c r="J549" s="123">
        <v>2572.6</v>
      </c>
      <c r="K549" s="123">
        <v>1749.7</v>
      </c>
      <c r="L549" s="124">
        <v>133</v>
      </c>
      <c r="M549" s="122" t="s">
        <v>272</v>
      </c>
      <c r="N549" s="122" t="s">
        <v>276</v>
      </c>
      <c r="O549" s="125" t="s">
        <v>1044</v>
      </c>
      <c r="P549" s="126">
        <v>3661902.1799999997</v>
      </c>
      <c r="Q549" s="126">
        <v>0</v>
      </c>
      <c r="R549" s="126">
        <v>0</v>
      </c>
      <c r="S549" s="126">
        <f t="shared" si="181"/>
        <v>3661902.1799999997</v>
      </c>
      <c r="T549" s="126">
        <f t="shared" si="180"/>
        <v>1089.5275751264503</v>
      </c>
      <c r="U549" s="126">
        <v>1556.1266736090449</v>
      </c>
    </row>
    <row r="550" spans="1:21" s="67" customFormat="1" ht="61.5" x14ac:dyDescent="0.9">
      <c r="B550" s="118">
        <f>SUBTOTAL(103,$A$529:A550)</f>
        <v>21</v>
      </c>
      <c r="C550" s="115" t="s">
        <v>1509</v>
      </c>
      <c r="D550" s="122">
        <v>1965</v>
      </c>
      <c r="E550" s="127"/>
      <c r="F550" s="127" t="s">
        <v>274</v>
      </c>
      <c r="G550" s="122">
        <v>5</v>
      </c>
      <c r="H550" s="122">
        <v>4</v>
      </c>
      <c r="I550" s="123">
        <v>3647.4</v>
      </c>
      <c r="J550" s="123">
        <v>2512.3000000000002</v>
      </c>
      <c r="K550" s="123">
        <v>2436</v>
      </c>
      <c r="L550" s="124">
        <v>160</v>
      </c>
      <c r="M550" s="122" t="s">
        <v>272</v>
      </c>
      <c r="N550" s="122" t="s">
        <v>276</v>
      </c>
      <c r="O550" s="125" t="s">
        <v>1149</v>
      </c>
      <c r="P550" s="126">
        <v>5911583.5</v>
      </c>
      <c r="Q550" s="126">
        <v>0</v>
      </c>
      <c r="R550" s="126">
        <v>0</v>
      </c>
      <c r="S550" s="126">
        <f t="shared" si="181"/>
        <v>5911583.5</v>
      </c>
      <c r="T550" s="126">
        <f t="shared" si="180"/>
        <v>1620.7664363656302</v>
      </c>
      <c r="U550" s="126">
        <v>1728.14</v>
      </c>
    </row>
    <row r="551" spans="1:21" s="67" customFormat="1" ht="61.5" x14ac:dyDescent="0.9">
      <c r="A551" s="67">
        <v>1</v>
      </c>
      <c r="B551" s="118">
        <f>SUBTOTAL(103,$A$529:A551)</f>
        <v>22</v>
      </c>
      <c r="C551" s="115" t="s">
        <v>572</v>
      </c>
      <c r="D551" s="122">
        <v>1993</v>
      </c>
      <c r="E551" s="127"/>
      <c r="F551" s="127" t="s">
        <v>274</v>
      </c>
      <c r="G551" s="122">
        <v>9</v>
      </c>
      <c r="H551" s="122">
        <v>9</v>
      </c>
      <c r="I551" s="123">
        <v>14938</v>
      </c>
      <c r="J551" s="123">
        <v>12406</v>
      </c>
      <c r="K551" s="123">
        <v>5273.2</v>
      </c>
      <c r="L551" s="124">
        <v>330</v>
      </c>
      <c r="M551" s="122" t="s">
        <v>272</v>
      </c>
      <c r="N551" s="122" t="s">
        <v>276</v>
      </c>
      <c r="O551" s="125" t="s">
        <v>1046</v>
      </c>
      <c r="P551" s="126">
        <v>2179444.67</v>
      </c>
      <c r="Q551" s="126">
        <v>0</v>
      </c>
      <c r="R551" s="126">
        <v>0</v>
      </c>
      <c r="S551" s="126">
        <f t="shared" si="181"/>
        <v>2179444.67</v>
      </c>
      <c r="T551" s="126">
        <f t="shared" si="180"/>
        <v>145.89936202972285</v>
      </c>
      <c r="U551" s="126">
        <v>150.50897041103227</v>
      </c>
    </row>
    <row r="552" spans="1:21" s="67" customFormat="1" ht="61.5" x14ac:dyDescent="0.9">
      <c r="A552" s="67">
        <v>1</v>
      </c>
      <c r="B552" s="118">
        <f>SUBTOTAL(103,$A$529:A552)</f>
        <v>23</v>
      </c>
      <c r="C552" s="115" t="s">
        <v>849</v>
      </c>
      <c r="D552" s="122">
        <v>1962</v>
      </c>
      <c r="E552" s="127"/>
      <c r="F552" s="127" t="s">
        <v>274</v>
      </c>
      <c r="G552" s="122">
        <v>4</v>
      </c>
      <c r="H552" s="122">
        <v>2</v>
      </c>
      <c r="I552" s="123">
        <v>1260.7</v>
      </c>
      <c r="J552" s="123">
        <v>979.2</v>
      </c>
      <c r="K552" s="123">
        <v>905.52</v>
      </c>
      <c r="L552" s="124">
        <v>83</v>
      </c>
      <c r="M552" s="122" t="s">
        <v>272</v>
      </c>
      <c r="N552" s="122" t="s">
        <v>307</v>
      </c>
      <c r="O552" s="125" t="s">
        <v>863</v>
      </c>
      <c r="P552" s="126">
        <v>3110127.71</v>
      </c>
      <c r="Q552" s="126">
        <v>0</v>
      </c>
      <c r="R552" s="126">
        <v>0</v>
      </c>
      <c r="S552" s="126">
        <f t="shared" si="181"/>
        <v>3110127.71</v>
      </c>
      <c r="T552" s="126">
        <f t="shared" si="180"/>
        <v>2466.9847782977708</v>
      </c>
      <c r="U552" s="126">
        <v>3747.1238200999442</v>
      </c>
    </row>
    <row r="553" spans="1:21" s="67" customFormat="1" ht="61.5" x14ac:dyDescent="0.9">
      <c r="A553" s="67">
        <v>1</v>
      </c>
      <c r="B553" s="118">
        <f>SUBTOTAL(103,$A$529:A553)</f>
        <v>24</v>
      </c>
      <c r="C553" s="115" t="s">
        <v>573</v>
      </c>
      <c r="D553" s="122" t="s">
        <v>320</v>
      </c>
      <c r="E553" s="127"/>
      <c r="F553" s="127" t="s">
        <v>274</v>
      </c>
      <c r="G553" s="122" t="s">
        <v>363</v>
      </c>
      <c r="H553" s="122">
        <v>1</v>
      </c>
      <c r="I553" s="123">
        <v>667.4</v>
      </c>
      <c r="J553" s="123">
        <v>486.4</v>
      </c>
      <c r="K553" s="123">
        <v>486.4</v>
      </c>
      <c r="L553" s="124">
        <v>29</v>
      </c>
      <c r="M553" s="122" t="s">
        <v>272</v>
      </c>
      <c r="N553" s="122" t="s">
        <v>276</v>
      </c>
      <c r="O553" s="125" t="s">
        <v>1048</v>
      </c>
      <c r="P553" s="126">
        <v>1126135.8999999999</v>
      </c>
      <c r="Q553" s="126">
        <v>0</v>
      </c>
      <c r="R553" s="126">
        <v>0</v>
      </c>
      <c r="S553" s="126">
        <f t="shared" si="181"/>
        <v>1126135.8999999999</v>
      </c>
      <c r="T553" s="126">
        <f t="shared" si="180"/>
        <v>1687.3477674557985</v>
      </c>
      <c r="U553" s="126">
        <v>2123.463739886125</v>
      </c>
    </row>
    <row r="554" spans="1:21" s="67" customFormat="1" ht="61.5" x14ac:dyDescent="0.9">
      <c r="A554" s="67">
        <v>1</v>
      </c>
      <c r="B554" s="118">
        <f>SUBTOTAL(103,$A$529:A554)</f>
        <v>25</v>
      </c>
      <c r="C554" s="115" t="s">
        <v>575</v>
      </c>
      <c r="D554" s="122" t="s">
        <v>370</v>
      </c>
      <c r="E554" s="127"/>
      <c r="F554" s="127" t="s">
        <v>274</v>
      </c>
      <c r="G554" s="122" t="s">
        <v>318</v>
      </c>
      <c r="H554" s="122">
        <v>1</v>
      </c>
      <c r="I554" s="123">
        <v>1061.9000000000001</v>
      </c>
      <c r="J554" s="123">
        <v>977.4</v>
      </c>
      <c r="K554" s="123">
        <v>977.4</v>
      </c>
      <c r="L554" s="124">
        <v>25</v>
      </c>
      <c r="M554" s="122" t="s">
        <v>272</v>
      </c>
      <c r="N554" s="122" t="s">
        <v>276</v>
      </c>
      <c r="O554" s="125" t="s">
        <v>1048</v>
      </c>
      <c r="P554" s="126">
        <v>4057359.23</v>
      </c>
      <c r="Q554" s="126">
        <v>0</v>
      </c>
      <c r="R554" s="126">
        <v>0</v>
      </c>
      <c r="S554" s="126">
        <f t="shared" si="181"/>
        <v>4057359.23</v>
      </c>
      <c r="T554" s="126">
        <f t="shared" si="180"/>
        <v>3820.848695734061</v>
      </c>
      <c r="U554" s="126">
        <v>6680.8250807043978</v>
      </c>
    </row>
    <row r="555" spans="1:21" s="67" customFormat="1" ht="61.5" x14ac:dyDescent="0.9">
      <c r="A555" s="67">
        <v>1</v>
      </c>
      <c r="B555" s="118">
        <f>SUBTOTAL(103,$A$529:A555)</f>
        <v>26</v>
      </c>
      <c r="C555" s="115" t="s">
        <v>576</v>
      </c>
      <c r="D555" s="122" t="s">
        <v>371</v>
      </c>
      <c r="E555" s="127"/>
      <c r="F555" s="127" t="s">
        <v>274</v>
      </c>
      <c r="G555" s="122" t="s">
        <v>363</v>
      </c>
      <c r="H555" s="122">
        <v>2</v>
      </c>
      <c r="I555" s="123">
        <v>1953.8</v>
      </c>
      <c r="J555" s="123">
        <v>1724.7</v>
      </c>
      <c r="K555" s="123">
        <v>1572.5</v>
      </c>
      <c r="L555" s="124">
        <v>51</v>
      </c>
      <c r="M555" s="122" t="s">
        <v>272</v>
      </c>
      <c r="N555" s="122" t="s">
        <v>276</v>
      </c>
      <c r="O555" s="125" t="s">
        <v>1055</v>
      </c>
      <c r="P555" s="126">
        <v>2760412.39</v>
      </c>
      <c r="Q555" s="126">
        <v>0</v>
      </c>
      <c r="R555" s="126">
        <v>0</v>
      </c>
      <c r="S555" s="126">
        <f t="shared" si="181"/>
        <v>2760412.39</v>
      </c>
      <c r="T555" s="126">
        <f t="shared" si="180"/>
        <v>1412.8428651857919</v>
      </c>
      <c r="U555" s="126">
        <v>1934.2815027126624</v>
      </c>
    </row>
    <row r="556" spans="1:21" s="67" customFormat="1" ht="61.5" x14ac:dyDescent="0.9">
      <c r="A556" s="67">
        <v>1</v>
      </c>
      <c r="B556" s="118">
        <f>SUBTOTAL(103,$A$529:A556)</f>
        <v>27</v>
      </c>
      <c r="C556" s="115" t="s">
        <v>851</v>
      </c>
      <c r="D556" s="122">
        <v>1987</v>
      </c>
      <c r="E556" s="127"/>
      <c r="F556" s="127" t="s">
        <v>321</v>
      </c>
      <c r="G556" s="122">
        <v>9</v>
      </c>
      <c r="H556" s="122">
        <v>5</v>
      </c>
      <c r="I556" s="123">
        <v>10923.8</v>
      </c>
      <c r="J556" s="123">
        <v>9687.5</v>
      </c>
      <c r="K556" s="123">
        <v>9248.6</v>
      </c>
      <c r="L556" s="124">
        <v>489</v>
      </c>
      <c r="M556" s="122" t="s">
        <v>272</v>
      </c>
      <c r="N556" s="122" t="s">
        <v>276</v>
      </c>
      <c r="O556" s="125" t="s">
        <v>1057</v>
      </c>
      <c r="P556" s="126">
        <v>5592560.8499999996</v>
      </c>
      <c r="Q556" s="126">
        <v>0</v>
      </c>
      <c r="R556" s="126">
        <v>0</v>
      </c>
      <c r="S556" s="126">
        <f t="shared" si="181"/>
        <v>5592560.8499999996</v>
      </c>
      <c r="T556" s="126">
        <f t="shared" si="180"/>
        <v>511.96111701056407</v>
      </c>
      <c r="U556" s="126">
        <v>859.34023599846205</v>
      </c>
    </row>
    <row r="557" spans="1:21" s="67" customFormat="1" ht="61.5" x14ac:dyDescent="0.9">
      <c r="A557" s="67">
        <v>1</v>
      </c>
      <c r="B557" s="118">
        <f>SUBTOTAL(103,$A$529:A557)</f>
        <v>28</v>
      </c>
      <c r="C557" s="115" t="s">
        <v>577</v>
      </c>
      <c r="D557" s="122" t="s">
        <v>316</v>
      </c>
      <c r="E557" s="127"/>
      <c r="F557" s="127" t="s">
        <v>274</v>
      </c>
      <c r="G557" s="122" t="s">
        <v>363</v>
      </c>
      <c r="H557" s="122">
        <v>4</v>
      </c>
      <c r="I557" s="123">
        <v>3951</v>
      </c>
      <c r="J557" s="123">
        <v>3662.3</v>
      </c>
      <c r="K557" s="123">
        <v>2413.8000000000002</v>
      </c>
      <c r="L557" s="124">
        <v>103</v>
      </c>
      <c r="M557" s="122" t="s">
        <v>272</v>
      </c>
      <c r="N557" s="122" t="s">
        <v>276</v>
      </c>
      <c r="O557" s="125" t="s">
        <v>1053</v>
      </c>
      <c r="P557" s="126">
        <v>4005106.45</v>
      </c>
      <c r="Q557" s="126">
        <v>0</v>
      </c>
      <c r="R557" s="126">
        <v>0</v>
      </c>
      <c r="S557" s="126">
        <f t="shared" si="181"/>
        <v>4005106.45</v>
      </c>
      <c r="T557" s="126">
        <f t="shared" si="180"/>
        <v>1013.6943685143002</v>
      </c>
      <c r="U557" s="126">
        <v>1404.0305087319666</v>
      </c>
    </row>
    <row r="558" spans="1:21" s="67" customFormat="1" ht="61.5" x14ac:dyDescent="0.9">
      <c r="A558" s="67">
        <v>1</v>
      </c>
      <c r="B558" s="118">
        <f>SUBTOTAL(103,$A$529:A558)</f>
        <v>29</v>
      </c>
      <c r="C558" s="115" t="s">
        <v>578</v>
      </c>
      <c r="D558" s="122" t="s">
        <v>373</v>
      </c>
      <c r="E558" s="127"/>
      <c r="F558" s="127" t="s">
        <v>274</v>
      </c>
      <c r="G558" s="122" t="s">
        <v>363</v>
      </c>
      <c r="H558" s="122">
        <v>3</v>
      </c>
      <c r="I558" s="123">
        <v>2747.2</v>
      </c>
      <c r="J558" s="123">
        <v>2475.6</v>
      </c>
      <c r="K558" s="123">
        <v>2231</v>
      </c>
      <c r="L558" s="124">
        <v>93</v>
      </c>
      <c r="M558" s="122" t="s">
        <v>272</v>
      </c>
      <c r="N558" s="122" t="s">
        <v>276</v>
      </c>
      <c r="O558" s="125" t="s">
        <v>1053</v>
      </c>
      <c r="P558" s="126">
        <v>4412836.3</v>
      </c>
      <c r="Q558" s="126">
        <v>0</v>
      </c>
      <c r="R558" s="126">
        <v>0</v>
      </c>
      <c r="S558" s="126">
        <f t="shared" si="181"/>
        <v>4412836.3</v>
      </c>
      <c r="T558" s="126">
        <f t="shared" si="180"/>
        <v>1606.3032542224812</v>
      </c>
      <c r="U558" s="126">
        <v>2204.2413588380896</v>
      </c>
    </row>
    <row r="559" spans="1:21" s="67" customFormat="1" ht="61.5" x14ac:dyDescent="0.9">
      <c r="A559" s="67">
        <v>1</v>
      </c>
      <c r="B559" s="118">
        <f>SUBTOTAL(103,$A$529:A559)</f>
        <v>30</v>
      </c>
      <c r="C559" s="115" t="s">
        <v>579</v>
      </c>
      <c r="D559" s="122" t="s">
        <v>316</v>
      </c>
      <c r="E559" s="127"/>
      <c r="F559" s="127" t="s">
        <v>274</v>
      </c>
      <c r="G559" s="122" t="s">
        <v>363</v>
      </c>
      <c r="H559" s="122">
        <v>2</v>
      </c>
      <c r="I559" s="123">
        <v>2023.4</v>
      </c>
      <c r="J559" s="123">
        <v>1578.8</v>
      </c>
      <c r="K559" s="123">
        <v>1536.2</v>
      </c>
      <c r="L559" s="124">
        <v>65</v>
      </c>
      <c r="M559" s="122" t="s">
        <v>272</v>
      </c>
      <c r="N559" s="122" t="s">
        <v>276</v>
      </c>
      <c r="O559" s="125" t="s">
        <v>1048</v>
      </c>
      <c r="P559" s="126">
        <v>4448638.5999999996</v>
      </c>
      <c r="Q559" s="126">
        <v>0</v>
      </c>
      <c r="R559" s="126">
        <v>0</v>
      </c>
      <c r="S559" s="126">
        <f t="shared" si="181"/>
        <v>4448638.5999999996</v>
      </c>
      <c r="T559" s="126">
        <f t="shared" si="180"/>
        <v>2198.5957299594738</v>
      </c>
      <c r="U559" s="126">
        <v>3902.1319635267373</v>
      </c>
    </row>
    <row r="560" spans="1:21" s="67" customFormat="1" ht="61.5" x14ac:dyDescent="0.9">
      <c r="A560" s="67">
        <v>1</v>
      </c>
      <c r="B560" s="118">
        <f>SUBTOTAL(103,$A$529:A560)</f>
        <v>31</v>
      </c>
      <c r="C560" s="115" t="s">
        <v>580</v>
      </c>
      <c r="D560" s="122" t="s">
        <v>374</v>
      </c>
      <c r="E560" s="127"/>
      <c r="F560" s="127" t="s">
        <v>274</v>
      </c>
      <c r="G560" s="122" t="s">
        <v>313</v>
      </c>
      <c r="H560" s="122">
        <v>3</v>
      </c>
      <c r="I560" s="123">
        <v>574.1</v>
      </c>
      <c r="J560" s="123">
        <v>290.3</v>
      </c>
      <c r="K560" s="123">
        <v>290.3</v>
      </c>
      <c r="L560" s="124">
        <v>10</v>
      </c>
      <c r="M560" s="122" t="s">
        <v>272</v>
      </c>
      <c r="N560" s="122" t="s">
        <v>276</v>
      </c>
      <c r="O560" s="125" t="s">
        <v>1056</v>
      </c>
      <c r="P560" s="126">
        <v>2397304.5699999998</v>
      </c>
      <c r="Q560" s="126">
        <v>0</v>
      </c>
      <c r="R560" s="126">
        <v>0</v>
      </c>
      <c r="S560" s="126">
        <f t="shared" si="181"/>
        <v>2397304.5699999998</v>
      </c>
      <c r="T560" s="126">
        <f t="shared" si="180"/>
        <v>4175.7613133600416</v>
      </c>
      <c r="U560" s="126">
        <v>5701.1956976136553</v>
      </c>
    </row>
    <row r="561" spans="1:21" s="67" customFormat="1" ht="61.5" x14ac:dyDescent="0.9">
      <c r="A561" s="67">
        <v>1</v>
      </c>
      <c r="B561" s="118">
        <f>SUBTOTAL(103,$A$529:A561)</f>
        <v>32</v>
      </c>
      <c r="C561" s="115" t="s">
        <v>581</v>
      </c>
      <c r="D561" s="122" t="s">
        <v>375</v>
      </c>
      <c r="E561" s="127"/>
      <c r="F561" s="127" t="s">
        <v>340</v>
      </c>
      <c r="G561" s="122" t="s">
        <v>313</v>
      </c>
      <c r="H561" s="122">
        <v>2</v>
      </c>
      <c r="I561" s="123">
        <v>583.5</v>
      </c>
      <c r="J561" s="123">
        <v>558.1</v>
      </c>
      <c r="K561" s="123">
        <v>416.1</v>
      </c>
      <c r="L561" s="124">
        <v>35</v>
      </c>
      <c r="M561" s="122" t="s">
        <v>272</v>
      </c>
      <c r="N561" s="122" t="s">
        <v>276</v>
      </c>
      <c r="O561" s="125" t="s">
        <v>1162</v>
      </c>
      <c r="P561" s="126">
        <v>2564514.5199999996</v>
      </c>
      <c r="Q561" s="126">
        <v>0</v>
      </c>
      <c r="R561" s="126">
        <v>0</v>
      </c>
      <c r="S561" s="126">
        <f t="shared" si="181"/>
        <v>2564514.5199999996</v>
      </c>
      <c r="T561" s="126">
        <f t="shared" si="180"/>
        <v>4395.0548757497854</v>
      </c>
      <c r="U561" s="126">
        <v>7008.7976349614391</v>
      </c>
    </row>
    <row r="562" spans="1:21" s="67" customFormat="1" ht="61.5" x14ac:dyDescent="0.9">
      <c r="A562" s="67">
        <v>1</v>
      </c>
      <c r="B562" s="118">
        <f>SUBTOTAL(103,$A$529:A562)</f>
        <v>33</v>
      </c>
      <c r="C562" s="115" t="s">
        <v>1168</v>
      </c>
      <c r="D562" s="122">
        <v>1989</v>
      </c>
      <c r="E562" s="127"/>
      <c r="F562" s="127" t="s">
        <v>321</v>
      </c>
      <c r="G562" s="122">
        <v>9</v>
      </c>
      <c r="H562" s="122">
        <v>4</v>
      </c>
      <c r="I562" s="123">
        <v>8889.1</v>
      </c>
      <c r="J562" s="123">
        <v>7439.2</v>
      </c>
      <c r="K562" s="123">
        <v>7373</v>
      </c>
      <c r="L562" s="124">
        <v>357</v>
      </c>
      <c r="M562" s="122" t="s">
        <v>272</v>
      </c>
      <c r="N562" s="122" t="s">
        <v>276</v>
      </c>
      <c r="O562" s="125" t="s">
        <v>1169</v>
      </c>
      <c r="P562" s="126">
        <v>7813143.0999999996</v>
      </c>
      <c r="Q562" s="126">
        <v>0</v>
      </c>
      <c r="R562" s="126">
        <v>0</v>
      </c>
      <c r="S562" s="126">
        <f t="shared" si="181"/>
        <v>7813143.0999999996</v>
      </c>
      <c r="T562" s="126">
        <f t="shared" si="180"/>
        <v>878.95772350406673</v>
      </c>
      <c r="U562" s="126">
        <v>1011.7123218323565</v>
      </c>
    </row>
    <row r="563" spans="1:21" s="67" customFormat="1" ht="61.5" x14ac:dyDescent="0.9">
      <c r="A563" s="67">
        <v>1</v>
      </c>
      <c r="B563" s="118">
        <f>SUBTOTAL(103,$A$529:A563)</f>
        <v>34</v>
      </c>
      <c r="C563" s="115" t="s">
        <v>582</v>
      </c>
      <c r="D563" s="122">
        <v>1973</v>
      </c>
      <c r="E563" s="127"/>
      <c r="F563" s="127" t="s">
        <v>321</v>
      </c>
      <c r="G563" s="122">
        <v>9</v>
      </c>
      <c r="H563" s="122">
        <v>1</v>
      </c>
      <c r="I563" s="123">
        <v>1914.68</v>
      </c>
      <c r="J563" s="123">
        <v>1914.68</v>
      </c>
      <c r="K563" s="123">
        <v>1914.68</v>
      </c>
      <c r="L563" s="124">
        <v>130</v>
      </c>
      <c r="M563" s="122" t="s">
        <v>272</v>
      </c>
      <c r="N563" s="122" t="s">
        <v>276</v>
      </c>
      <c r="O563" s="125" t="s">
        <v>359</v>
      </c>
      <c r="P563" s="126">
        <v>2129444.67</v>
      </c>
      <c r="Q563" s="126">
        <v>0</v>
      </c>
      <c r="R563" s="126">
        <v>0</v>
      </c>
      <c r="S563" s="126">
        <f t="shared" si="181"/>
        <v>2129444.67</v>
      </c>
      <c r="T563" s="126">
        <f t="shared" si="180"/>
        <v>1112.1673961184113</v>
      </c>
      <c r="U563" s="126">
        <v>1409.8585664445234</v>
      </c>
    </row>
    <row r="564" spans="1:21" s="67" customFormat="1" ht="61.5" x14ac:dyDescent="0.9">
      <c r="A564" s="67">
        <v>1</v>
      </c>
      <c r="B564" s="118">
        <f>SUBTOTAL(103,$A$529:A564)</f>
        <v>35</v>
      </c>
      <c r="C564" s="115" t="s">
        <v>583</v>
      </c>
      <c r="D564" s="122" t="s">
        <v>320</v>
      </c>
      <c r="E564" s="127"/>
      <c r="F564" s="127" t="s">
        <v>274</v>
      </c>
      <c r="G564" s="122" t="s">
        <v>322</v>
      </c>
      <c r="H564" s="122">
        <v>4</v>
      </c>
      <c r="I564" s="123">
        <v>2853</v>
      </c>
      <c r="J564" s="123">
        <v>1941.5</v>
      </c>
      <c r="K564" s="123">
        <v>1882.5</v>
      </c>
      <c r="L564" s="124">
        <v>96</v>
      </c>
      <c r="M564" s="122" t="s">
        <v>272</v>
      </c>
      <c r="N564" s="122" t="s">
        <v>276</v>
      </c>
      <c r="O564" s="125" t="s">
        <v>1048</v>
      </c>
      <c r="P564" s="126">
        <v>5610855.6899999995</v>
      </c>
      <c r="Q564" s="126">
        <v>0</v>
      </c>
      <c r="R564" s="126">
        <v>0</v>
      </c>
      <c r="S564" s="126">
        <f t="shared" si="181"/>
        <v>5610855.6899999995</v>
      </c>
      <c r="T564" s="126">
        <f t="shared" si="180"/>
        <v>1966.6511356466874</v>
      </c>
      <c r="U564" s="126">
        <v>2743.8980722046967</v>
      </c>
    </row>
    <row r="565" spans="1:21" s="67" customFormat="1" ht="61.5" x14ac:dyDescent="0.9">
      <c r="A565" s="67">
        <v>1</v>
      </c>
      <c r="B565" s="118">
        <f>SUBTOTAL(103,$A$529:A565)</f>
        <v>36</v>
      </c>
      <c r="C565" s="115" t="s">
        <v>584</v>
      </c>
      <c r="D565" s="122">
        <v>1985</v>
      </c>
      <c r="E565" s="127"/>
      <c r="F565" s="127" t="s">
        <v>321</v>
      </c>
      <c r="G565" s="122">
        <v>2</v>
      </c>
      <c r="H565" s="122">
        <v>2</v>
      </c>
      <c r="I565" s="123">
        <v>626.1</v>
      </c>
      <c r="J565" s="123">
        <v>586.4</v>
      </c>
      <c r="K565" s="123">
        <v>348.2</v>
      </c>
      <c r="L565" s="124">
        <v>43</v>
      </c>
      <c r="M565" s="122" t="s">
        <v>272</v>
      </c>
      <c r="N565" s="122" t="s">
        <v>276</v>
      </c>
      <c r="O565" s="125" t="s">
        <v>1048</v>
      </c>
      <c r="P565" s="126">
        <v>2171781.17</v>
      </c>
      <c r="Q565" s="126">
        <v>0</v>
      </c>
      <c r="R565" s="126">
        <v>0</v>
      </c>
      <c r="S565" s="126">
        <f t="shared" si="181"/>
        <v>2171781.17</v>
      </c>
      <c r="T565" s="126">
        <f t="shared" si="180"/>
        <v>3468.7448810094234</v>
      </c>
      <c r="U565" s="126">
        <v>4662.8835361763295</v>
      </c>
    </row>
    <row r="566" spans="1:21" s="67" customFormat="1" ht="61.5" x14ac:dyDescent="0.9">
      <c r="A566" s="67">
        <v>1</v>
      </c>
      <c r="B566" s="118">
        <f>SUBTOTAL(103,$A$529:A566)</f>
        <v>37</v>
      </c>
      <c r="C566" s="115" t="s">
        <v>585</v>
      </c>
      <c r="D566" s="122" t="s">
        <v>312</v>
      </c>
      <c r="E566" s="127"/>
      <c r="F566" s="127" t="s">
        <v>274</v>
      </c>
      <c r="G566" s="122" t="s">
        <v>313</v>
      </c>
      <c r="H566" s="122">
        <v>1</v>
      </c>
      <c r="I566" s="123">
        <v>399.4</v>
      </c>
      <c r="J566" s="123">
        <v>354.1</v>
      </c>
      <c r="K566" s="123">
        <v>172.1</v>
      </c>
      <c r="L566" s="124">
        <v>23</v>
      </c>
      <c r="M566" s="122" t="s">
        <v>272</v>
      </c>
      <c r="N566" s="122" t="s">
        <v>276</v>
      </c>
      <c r="O566" s="125" t="s">
        <v>1058</v>
      </c>
      <c r="P566" s="126">
        <v>763048.75</v>
      </c>
      <c r="Q566" s="126">
        <v>0</v>
      </c>
      <c r="R566" s="126">
        <v>0</v>
      </c>
      <c r="S566" s="126">
        <f t="shared" si="181"/>
        <v>763048.75</v>
      </c>
      <c r="T566" s="126">
        <f t="shared" si="180"/>
        <v>1910.4876064096145</v>
      </c>
      <c r="U566" s="126">
        <v>3507.284356534803</v>
      </c>
    </row>
    <row r="567" spans="1:21" s="67" customFormat="1" ht="61.5" x14ac:dyDescent="0.9">
      <c r="A567" s="67">
        <v>1</v>
      </c>
      <c r="B567" s="118">
        <f>SUBTOTAL(103,$A$529:A567)</f>
        <v>38</v>
      </c>
      <c r="C567" s="115" t="s">
        <v>586</v>
      </c>
      <c r="D567" s="122">
        <v>1977</v>
      </c>
      <c r="E567" s="127"/>
      <c r="F567" s="127" t="s">
        <v>274</v>
      </c>
      <c r="G567" s="122">
        <v>2</v>
      </c>
      <c r="H567" s="122">
        <v>2</v>
      </c>
      <c r="I567" s="123">
        <v>814.4</v>
      </c>
      <c r="J567" s="123">
        <v>741</v>
      </c>
      <c r="K567" s="123">
        <v>629.70000000000005</v>
      </c>
      <c r="L567" s="124">
        <v>44</v>
      </c>
      <c r="M567" s="122" t="s">
        <v>272</v>
      </c>
      <c r="N567" s="122" t="s">
        <v>276</v>
      </c>
      <c r="O567" s="125" t="s">
        <v>1052</v>
      </c>
      <c r="P567" s="126">
        <v>2794940.58</v>
      </c>
      <c r="Q567" s="126">
        <v>0</v>
      </c>
      <c r="R567" s="126">
        <v>0</v>
      </c>
      <c r="S567" s="126">
        <f t="shared" si="181"/>
        <v>2794940.58</v>
      </c>
      <c r="T567" s="126">
        <f t="shared" si="180"/>
        <v>3431.9014980353636</v>
      </c>
      <c r="U567" s="126">
        <v>5319.9680009823178</v>
      </c>
    </row>
    <row r="568" spans="1:21" s="67" customFormat="1" ht="61.5" x14ac:dyDescent="0.9">
      <c r="A568" s="67">
        <v>1</v>
      </c>
      <c r="B568" s="118">
        <f>SUBTOTAL(103,$A$529:A568)</f>
        <v>39</v>
      </c>
      <c r="C568" s="115" t="s">
        <v>850</v>
      </c>
      <c r="D568" s="122">
        <v>1963</v>
      </c>
      <c r="E568" s="127"/>
      <c r="F568" s="127" t="s">
        <v>274</v>
      </c>
      <c r="G568" s="122">
        <v>2</v>
      </c>
      <c r="H568" s="122">
        <v>1</v>
      </c>
      <c r="I568" s="123">
        <v>316.5</v>
      </c>
      <c r="J568" s="123">
        <v>207.1</v>
      </c>
      <c r="K568" s="123">
        <v>131.4</v>
      </c>
      <c r="L568" s="124">
        <v>24</v>
      </c>
      <c r="M568" s="122" t="s">
        <v>272</v>
      </c>
      <c r="N568" s="122" t="s">
        <v>276</v>
      </c>
      <c r="O568" s="125" t="s">
        <v>1060</v>
      </c>
      <c r="P568" s="126">
        <v>1584967.92</v>
      </c>
      <c r="Q568" s="126">
        <v>0</v>
      </c>
      <c r="R568" s="126">
        <v>0</v>
      </c>
      <c r="S568" s="126">
        <f t="shared" si="181"/>
        <v>1584967.92</v>
      </c>
      <c r="T568" s="126">
        <f t="shared" si="180"/>
        <v>5007.7975355450235</v>
      </c>
      <c r="U568" s="126">
        <v>6396.7488151658772</v>
      </c>
    </row>
    <row r="569" spans="1:21" s="67" customFormat="1" ht="61.5" x14ac:dyDescent="0.9">
      <c r="A569" s="67">
        <v>1</v>
      </c>
      <c r="B569" s="118">
        <f>SUBTOTAL(103,$A$529:A569)</f>
        <v>40</v>
      </c>
      <c r="C569" s="115" t="s">
        <v>587</v>
      </c>
      <c r="D569" s="122" t="s">
        <v>377</v>
      </c>
      <c r="E569" s="127"/>
      <c r="F569" s="127" t="s">
        <v>274</v>
      </c>
      <c r="G569" s="122" t="s">
        <v>378</v>
      </c>
      <c r="H569" s="122">
        <v>7</v>
      </c>
      <c r="I569" s="123">
        <v>12921.1</v>
      </c>
      <c r="J569" s="123">
        <v>11041.4</v>
      </c>
      <c r="K569" s="123">
        <v>11041.4</v>
      </c>
      <c r="L569" s="124">
        <v>373</v>
      </c>
      <c r="M569" s="122" t="s">
        <v>272</v>
      </c>
      <c r="N569" s="122" t="s">
        <v>276</v>
      </c>
      <c r="O569" s="125" t="s">
        <v>1055</v>
      </c>
      <c r="P569" s="126">
        <v>11173348.710000001</v>
      </c>
      <c r="Q569" s="126">
        <v>0</v>
      </c>
      <c r="R569" s="126">
        <v>0</v>
      </c>
      <c r="S569" s="126">
        <f t="shared" si="181"/>
        <v>11173348.710000001</v>
      </c>
      <c r="T569" s="126">
        <f t="shared" si="180"/>
        <v>864.73664858255108</v>
      </c>
      <c r="U569" s="126">
        <v>1201.2685452476956</v>
      </c>
    </row>
    <row r="570" spans="1:21" s="67" customFormat="1" ht="61.5" x14ac:dyDescent="0.9">
      <c r="A570" s="67">
        <v>1</v>
      </c>
      <c r="B570" s="118">
        <f>SUBTOTAL(103,$A$529:A570)</f>
        <v>41</v>
      </c>
      <c r="C570" s="115" t="s">
        <v>588</v>
      </c>
      <c r="D570" s="122" t="s">
        <v>379</v>
      </c>
      <c r="E570" s="127"/>
      <c r="F570" s="127" t="s">
        <v>274</v>
      </c>
      <c r="G570" s="122" t="s">
        <v>369</v>
      </c>
      <c r="H570" s="122">
        <v>3</v>
      </c>
      <c r="I570" s="123">
        <v>6810.7</v>
      </c>
      <c r="J570" s="123">
        <v>6392</v>
      </c>
      <c r="K570" s="123">
        <v>6392</v>
      </c>
      <c r="L570" s="124">
        <v>287</v>
      </c>
      <c r="M570" s="122" t="s">
        <v>272</v>
      </c>
      <c r="N570" s="122" t="s">
        <v>276</v>
      </c>
      <c r="O570" s="125" t="s">
        <v>1055</v>
      </c>
      <c r="P570" s="126">
        <v>5877399.3300000001</v>
      </c>
      <c r="Q570" s="126">
        <v>0</v>
      </c>
      <c r="R570" s="126">
        <v>0</v>
      </c>
      <c r="S570" s="126">
        <f t="shared" si="181"/>
        <v>5877399.3300000001</v>
      </c>
      <c r="T570" s="126">
        <f t="shared" si="180"/>
        <v>862.96552924075354</v>
      </c>
      <c r="U570" s="126">
        <v>1189.0531076100842</v>
      </c>
    </row>
    <row r="571" spans="1:21" s="67" customFormat="1" ht="61.5" x14ac:dyDescent="0.9">
      <c r="A571" s="67">
        <v>1</v>
      </c>
      <c r="B571" s="118">
        <f>SUBTOTAL(103,$A$529:A571)</f>
        <v>42</v>
      </c>
      <c r="C571" s="115" t="s">
        <v>589</v>
      </c>
      <c r="D571" s="122">
        <v>1960</v>
      </c>
      <c r="E571" s="127"/>
      <c r="F571" s="127" t="s">
        <v>274</v>
      </c>
      <c r="G571" s="122">
        <v>2</v>
      </c>
      <c r="H571" s="122">
        <v>2</v>
      </c>
      <c r="I571" s="123">
        <v>614.9</v>
      </c>
      <c r="J571" s="123">
        <v>438</v>
      </c>
      <c r="K571" s="123">
        <v>438</v>
      </c>
      <c r="L571" s="124">
        <v>32</v>
      </c>
      <c r="M571" s="122" t="s">
        <v>272</v>
      </c>
      <c r="N571" s="122" t="s">
        <v>273</v>
      </c>
      <c r="O571" s="125" t="s">
        <v>275</v>
      </c>
      <c r="P571" s="126">
        <v>2102735.67</v>
      </c>
      <c r="Q571" s="126">
        <v>0</v>
      </c>
      <c r="R571" s="126">
        <v>0</v>
      </c>
      <c r="S571" s="126">
        <f t="shared" si="181"/>
        <v>2102735.67</v>
      </c>
      <c r="T571" s="126">
        <f t="shared" si="180"/>
        <v>3419.6384290128476</v>
      </c>
      <c r="U571" s="126">
        <v>5922.1031387217436</v>
      </c>
    </row>
    <row r="572" spans="1:21" s="67" customFormat="1" ht="61.5" x14ac:dyDescent="0.9">
      <c r="A572" s="67">
        <v>1</v>
      </c>
      <c r="B572" s="118">
        <f>SUBTOTAL(103,$A$529:A572)</f>
        <v>43</v>
      </c>
      <c r="C572" s="115" t="s">
        <v>590</v>
      </c>
      <c r="D572" s="122" t="s">
        <v>380</v>
      </c>
      <c r="E572" s="127"/>
      <c r="F572" s="127" t="s">
        <v>376</v>
      </c>
      <c r="G572" s="122" t="s">
        <v>313</v>
      </c>
      <c r="H572" s="122">
        <v>2</v>
      </c>
      <c r="I572" s="123">
        <v>485.3</v>
      </c>
      <c r="J572" s="123">
        <v>445.3</v>
      </c>
      <c r="K572" s="123">
        <v>387.3</v>
      </c>
      <c r="L572" s="124">
        <v>32</v>
      </c>
      <c r="M572" s="122" t="s">
        <v>272</v>
      </c>
      <c r="N572" s="122" t="s">
        <v>276</v>
      </c>
      <c r="O572" s="125" t="s">
        <v>1058</v>
      </c>
      <c r="P572" s="126">
        <v>2323274.2000000002</v>
      </c>
      <c r="Q572" s="126">
        <v>0</v>
      </c>
      <c r="R572" s="126">
        <v>0</v>
      </c>
      <c r="S572" s="126">
        <f t="shared" si="181"/>
        <v>2323274.2000000002</v>
      </c>
      <c r="T572" s="126">
        <f t="shared" si="180"/>
        <v>4787.2948691531019</v>
      </c>
      <c r="U572" s="126">
        <v>7864.0303070265809</v>
      </c>
    </row>
    <row r="573" spans="1:21" s="67" customFormat="1" ht="61.5" x14ac:dyDescent="0.9">
      <c r="A573" s="67">
        <v>1</v>
      </c>
      <c r="B573" s="118">
        <f>SUBTOTAL(103,$A$529:A573)</f>
        <v>44</v>
      </c>
      <c r="C573" s="115" t="s">
        <v>591</v>
      </c>
      <c r="D573" s="122" t="s">
        <v>381</v>
      </c>
      <c r="E573" s="127"/>
      <c r="F573" s="127" t="s">
        <v>321</v>
      </c>
      <c r="G573" s="122" t="s">
        <v>363</v>
      </c>
      <c r="H573" s="122">
        <v>4</v>
      </c>
      <c r="I573" s="123">
        <v>3872.2</v>
      </c>
      <c r="J573" s="123">
        <v>3548.5</v>
      </c>
      <c r="K573" s="123">
        <v>2382.6</v>
      </c>
      <c r="L573" s="124">
        <v>172</v>
      </c>
      <c r="M573" s="122" t="s">
        <v>272</v>
      </c>
      <c r="N573" s="122" t="s">
        <v>276</v>
      </c>
      <c r="O573" s="125" t="s">
        <v>1044</v>
      </c>
      <c r="P573" s="126">
        <v>4748603.68</v>
      </c>
      <c r="Q573" s="126">
        <v>0</v>
      </c>
      <c r="R573" s="126">
        <v>0</v>
      </c>
      <c r="S573" s="126">
        <f t="shared" si="181"/>
        <v>4748603.68</v>
      </c>
      <c r="T573" s="126">
        <f t="shared" si="180"/>
        <v>1226.3322349052219</v>
      </c>
      <c r="U573" s="126">
        <v>1673.1127524404731</v>
      </c>
    </row>
    <row r="574" spans="1:21" s="67" customFormat="1" ht="61.5" x14ac:dyDescent="0.9">
      <c r="A574" s="67">
        <v>1</v>
      </c>
      <c r="B574" s="118">
        <f>SUBTOTAL(103,$A$529:A574)</f>
        <v>45</v>
      </c>
      <c r="C574" s="115" t="s">
        <v>592</v>
      </c>
      <c r="D574" s="122" t="s">
        <v>373</v>
      </c>
      <c r="E574" s="127"/>
      <c r="F574" s="127" t="s">
        <v>274</v>
      </c>
      <c r="G574" s="122" t="s">
        <v>318</v>
      </c>
      <c r="H574" s="122">
        <v>3</v>
      </c>
      <c r="I574" s="123">
        <v>2170</v>
      </c>
      <c r="J574" s="123">
        <v>2000.7</v>
      </c>
      <c r="K574" s="123">
        <v>1948.1</v>
      </c>
      <c r="L574" s="124">
        <v>85</v>
      </c>
      <c r="M574" s="122" t="s">
        <v>272</v>
      </c>
      <c r="N574" s="122" t="s">
        <v>276</v>
      </c>
      <c r="O574" s="125" t="s">
        <v>1053</v>
      </c>
      <c r="P574" s="126">
        <v>3192730.04</v>
      </c>
      <c r="Q574" s="126">
        <v>0</v>
      </c>
      <c r="R574" s="126">
        <v>0</v>
      </c>
      <c r="S574" s="126">
        <f t="shared" si="181"/>
        <v>3192730.04</v>
      </c>
      <c r="T574" s="126">
        <f t="shared" si="180"/>
        <v>1471.3041658986176</v>
      </c>
      <c r="U574" s="126">
        <v>2024.5709999999997</v>
      </c>
    </row>
    <row r="575" spans="1:21" s="67" customFormat="1" ht="61.5" x14ac:dyDescent="0.9">
      <c r="A575" s="67">
        <v>1</v>
      </c>
      <c r="B575" s="118">
        <f>SUBTOTAL(103,$A$529:A575)</f>
        <v>46</v>
      </c>
      <c r="C575" s="115" t="s">
        <v>593</v>
      </c>
      <c r="D575" s="122">
        <v>1981</v>
      </c>
      <c r="E575" s="127"/>
      <c r="F575" s="127" t="s">
        <v>274</v>
      </c>
      <c r="G575" s="122">
        <v>5</v>
      </c>
      <c r="H575" s="122">
        <v>1</v>
      </c>
      <c r="I575" s="123">
        <v>1247.5999999999999</v>
      </c>
      <c r="J575" s="123">
        <v>982.4</v>
      </c>
      <c r="K575" s="123">
        <v>982.4</v>
      </c>
      <c r="L575" s="124">
        <v>41</v>
      </c>
      <c r="M575" s="122" t="s">
        <v>272</v>
      </c>
      <c r="N575" s="122" t="s">
        <v>276</v>
      </c>
      <c r="O575" s="125" t="s">
        <v>1051</v>
      </c>
      <c r="P575" s="126">
        <v>1265842.2</v>
      </c>
      <c r="Q575" s="126">
        <v>0</v>
      </c>
      <c r="R575" s="126">
        <v>0</v>
      </c>
      <c r="S575" s="126">
        <f t="shared" si="181"/>
        <v>1265842.2</v>
      </c>
      <c r="T575" s="126">
        <f t="shared" si="180"/>
        <v>1014.6218339211287</v>
      </c>
      <c r="U575" s="126">
        <v>1552.4523805706958</v>
      </c>
    </row>
    <row r="576" spans="1:21" s="67" customFormat="1" ht="61.5" x14ac:dyDescent="0.9">
      <c r="A576" s="67">
        <v>1</v>
      </c>
      <c r="B576" s="118">
        <f>SUBTOTAL(103,$A$529:A576)</f>
        <v>47</v>
      </c>
      <c r="C576" s="115" t="s">
        <v>594</v>
      </c>
      <c r="D576" s="122" t="s">
        <v>327</v>
      </c>
      <c r="E576" s="127"/>
      <c r="F576" s="127" t="s">
        <v>274</v>
      </c>
      <c r="G576" s="122" t="s">
        <v>363</v>
      </c>
      <c r="H576" s="122">
        <v>1</v>
      </c>
      <c r="I576" s="123">
        <v>2919</v>
      </c>
      <c r="J576" s="123">
        <v>1755</v>
      </c>
      <c r="K576" s="123">
        <v>1549</v>
      </c>
      <c r="L576" s="124">
        <v>142</v>
      </c>
      <c r="M576" s="122" t="s">
        <v>272</v>
      </c>
      <c r="N576" s="122" t="s">
        <v>276</v>
      </c>
      <c r="O576" s="125" t="s">
        <v>1048</v>
      </c>
      <c r="P576" s="126">
        <v>3576070.0900000003</v>
      </c>
      <c r="Q576" s="126">
        <v>0</v>
      </c>
      <c r="R576" s="126">
        <v>0</v>
      </c>
      <c r="S576" s="126">
        <f t="shared" si="181"/>
        <v>3576070.0900000003</v>
      </c>
      <c r="T576" s="126">
        <f t="shared" si="180"/>
        <v>1225.1010928400137</v>
      </c>
      <c r="U576" s="126">
        <v>1669.2249194929771</v>
      </c>
    </row>
    <row r="577" spans="1:21" s="67" customFormat="1" ht="61.5" x14ac:dyDescent="0.9">
      <c r="A577" s="67">
        <v>1</v>
      </c>
      <c r="B577" s="118">
        <f>SUBTOTAL(103,$A$529:A577)</f>
        <v>48</v>
      </c>
      <c r="C577" s="115" t="s">
        <v>595</v>
      </c>
      <c r="D577" s="122" t="s">
        <v>317</v>
      </c>
      <c r="E577" s="127"/>
      <c r="F577" s="127" t="s">
        <v>321</v>
      </c>
      <c r="G577" s="122" t="s">
        <v>363</v>
      </c>
      <c r="H577" s="122">
        <v>7</v>
      </c>
      <c r="I577" s="123">
        <v>8158.5</v>
      </c>
      <c r="J577" s="123">
        <v>6418.7</v>
      </c>
      <c r="K577" s="123">
        <v>5954.4</v>
      </c>
      <c r="L577" s="124">
        <v>300</v>
      </c>
      <c r="M577" s="122" t="s">
        <v>272</v>
      </c>
      <c r="N577" s="122" t="s">
        <v>276</v>
      </c>
      <c r="O577" s="125" t="s">
        <v>1048</v>
      </c>
      <c r="P577" s="126">
        <v>8216874.9699999997</v>
      </c>
      <c r="Q577" s="126">
        <v>0</v>
      </c>
      <c r="R577" s="126">
        <v>0</v>
      </c>
      <c r="S577" s="126">
        <f t="shared" si="181"/>
        <v>8216874.9699999997</v>
      </c>
      <c r="T577" s="126">
        <f t="shared" si="180"/>
        <v>1007.1551106208249</v>
      </c>
      <c r="U577" s="126">
        <v>1396.2843856100999</v>
      </c>
    </row>
    <row r="578" spans="1:21" s="67" customFormat="1" ht="61.5" x14ac:dyDescent="0.9">
      <c r="A578" s="67">
        <v>1</v>
      </c>
      <c r="B578" s="118">
        <f>SUBTOTAL(103,$A$529:A578)</f>
        <v>49</v>
      </c>
      <c r="C578" s="115" t="s">
        <v>596</v>
      </c>
      <c r="D578" s="122" t="s">
        <v>316</v>
      </c>
      <c r="E578" s="127"/>
      <c r="F578" s="127" t="s">
        <v>274</v>
      </c>
      <c r="G578" s="122" t="s">
        <v>318</v>
      </c>
      <c r="H578" s="122">
        <v>3</v>
      </c>
      <c r="I578" s="123">
        <v>2920</v>
      </c>
      <c r="J578" s="123">
        <v>1821.75</v>
      </c>
      <c r="K578" s="123">
        <v>1787.35</v>
      </c>
      <c r="L578" s="124">
        <v>115</v>
      </c>
      <c r="M578" s="122" t="s">
        <v>272</v>
      </c>
      <c r="N578" s="122" t="s">
        <v>276</v>
      </c>
      <c r="O578" s="125" t="s">
        <v>1048</v>
      </c>
      <c r="P578" s="126">
        <v>5458332.7699999996</v>
      </c>
      <c r="Q578" s="126">
        <v>0</v>
      </c>
      <c r="R578" s="126">
        <v>0</v>
      </c>
      <c r="S578" s="126">
        <f t="shared" si="181"/>
        <v>5458332.7699999996</v>
      </c>
      <c r="T578" s="126">
        <f t="shared" si="180"/>
        <v>1869.2920445205477</v>
      </c>
      <c r="U578" s="126">
        <v>2611.6041438356165</v>
      </c>
    </row>
    <row r="579" spans="1:21" s="67" customFormat="1" ht="61.5" x14ac:dyDescent="0.9">
      <c r="A579" s="67">
        <v>1</v>
      </c>
      <c r="B579" s="118">
        <f>SUBTOTAL(103,$A$529:A579)</f>
        <v>50</v>
      </c>
      <c r="C579" s="115" t="s">
        <v>1484</v>
      </c>
      <c r="D579" s="122">
        <v>1961</v>
      </c>
      <c r="E579" s="127"/>
      <c r="F579" s="127" t="s">
        <v>274</v>
      </c>
      <c r="G579" s="122" t="s">
        <v>363</v>
      </c>
      <c r="H579" s="122">
        <v>3</v>
      </c>
      <c r="I579" s="123">
        <v>2772</v>
      </c>
      <c r="J579" s="123">
        <v>2431.1</v>
      </c>
      <c r="K579" s="123">
        <v>2250.6999999999998</v>
      </c>
      <c r="L579" s="124">
        <v>125</v>
      </c>
      <c r="M579" s="122" t="s">
        <v>272</v>
      </c>
      <c r="N579" s="122" t="s">
        <v>276</v>
      </c>
      <c r="O579" s="125" t="s">
        <v>1491</v>
      </c>
      <c r="P579" s="126">
        <v>3614770.42</v>
      </c>
      <c r="Q579" s="126">
        <v>0</v>
      </c>
      <c r="R579" s="126">
        <v>0</v>
      </c>
      <c r="S579" s="126">
        <f t="shared" si="181"/>
        <v>3614770.42</v>
      </c>
      <c r="T579" s="126">
        <f t="shared" si="180"/>
        <v>1304.0297330447331</v>
      </c>
      <c r="U579" s="126">
        <v>1424.13</v>
      </c>
    </row>
    <row r="580" spans="1:21" s="67" customFormat="1" ht="61.5" x14ac:dyDescent="0.9">
      <c r="A580" s="67">
        <v>1</v>
      </c>
      <c r="B580" s="118">
        <f>SUBTOTAL(103,$A$529:A580)</f>
        <v>51</v>
      </c>
      <c r="C580" s="115" t="s">
        <v>1485</v>
      </c>
      <c r="D580" s="122">
        <v>1994</v>
      </c>
      <c r="E580" s="127"/>
      <c r="F580" s="127" t="s">
        <v>274</v>
      </c>
      <c r="G580" s="122">
        <v>4</v>
      </c>
      <c r="H580" s="122">
        <v>3</v>
      </c>
      <c r="I580" s="123">
        <v>1861.8</v>
      </c>
      <c r="J580" s="123">
        <v>1644.3</v>
      </c>
      <c r="K580" s="123">
        <v>1644.3</v>
      </c>
      <c r="L580" s="124">
        <v>80</v>
      </c>
      <c r="M580" s="122" t="s">
        <v>272</v>
      </c>
      <c r="N580" s="122" t="s">
        <v>276</v>
      </c>
      <c r="O580" s="125" t="s">
        <v>1504</v>
      </c>
      <c r="P580" s="126">
        <v>3214943.65</v>
      </c>
      <c r="Q580" s="126">
        <v>0</v>
      </c>
      <c r="R580" s="126">
        <v>0</v>
      </c>
      <c r="S580" s="126">
        <f t="shared" si="181"/>
        <v>3214943.65</v>
      </c>
      <c r="T580" s="126">
        <f t="shared" si="180"/>
        <v>1726.793237726931</v>
      </c>
      <c r="U580" s="126">
        <v>1879.15</v>
      </c>
    </row>
    <row r="581" spans="1:21" s="67" customFormat="1" ht="61.5" x14ac:dyDescent="0.9">
      <c r="A581" s="67">
        <v>1</v>
      </c>
      <c r="B581" s="118">
        <f>SUBTOTAL(103,$A$529:A581)</f>
        <v>52</v>
      </c>
      <c r="C581" s="115" t="s">
        <v>1486</v>
      </c>
      <c r="D581" s="122">
        <v>1917</v>
      </c>
      <c r="E581" s="127"/>
      <c r="F581" s="127" t="s">
        <v>274</v>
      </c>
      <c r="G581" s="122">
        <v>2</v>
      </c>
      <c r="H581" s="122">
        <v>1</v>
      </c>
      <c r="I581" s="123">
        <v>370.5</v>
      </c>
      <c r="J581" s="123">
        <v>370.5</v>
      </c>
      <c r="K581" s="123">
        <v>208.6</v>
      </c>
      <c r="L581" s="124">
        <v>22</v>
      </c>
      <c r="M581" s="122" t="s">
        <v>272</v>
      </c>
      <c r="N581" s="122" t="s">
        <v>276</v>
      </c>
      <c r="O581" s="125" t="s">
        <v>1505</v>
      </c>
      <c r="P581" s="126">
        <v>1335035.1000000001</v>
      </c>
      <c r="Q581" s="126">
        <v>0</v>
      </c>
      <c r="R581" s="126">
        <v>0</v>
      </c>
      <c r="S581" s="126">
        <f t="shared" si="181"/>
        <v>1335035.1000000001</v>
      </c>
      <c r="T581" s="126">
        <f t="shared" si="180"/>
        <v>3603.3336032388665</v>
      </c>
      <c r="U581" s="126">
        <v>3834.25</v>
      </c>
    </row>
    <row r="582" spans="1:21" s="67" customFormat="1" ht="61.5" x14ac:dyDescent="0.9">
      <c r="A582" s="67">
        <v>1</v>
      </c>
      <c r="B582" s="118">
        <f>SUBTOTAL(103,$A$529:A582)</f>
        <v>53</v>
      </c>
      <c r="C582" s="115" t="s">
        <v>1487</v>
      </c>
      <c r="D582" s="122">
        <v>1917</v>
      </c>
      <c r="E582" s="127"/>
      <c r="F582" s="127" t="s">
        <v>274</v>
      </c>
      <c r="G582" s="122">
        <v>3</v>
      </c>
      <c r="H582" s="122">
        <v>2</v>
      </c>
      <c r="I582" s="123">
        <v>1376.9</v>
      </c>
      <c r="J582" s="123">
        <v>779.2</v>
      </c>
      <c r="K582" s="123">
        <v>660.2</v>
      </c>
      <c r="L582" s="124">
        <v>50</v>
      </c>
      <c r="M582" s="122" t="s">
        <v>272</v>
      </c>
      <c r="N582" s="122" t="s">
        <v>276</v>
      </c>
      <c r="O582" s="125" t="s">
        <v>1490</v>
      </c>
      <c r="P582" s="126">
        <v>4219164.3499999996</v>
      </c>
      <c r="Q582" s="126">
        <v>0</v>
      </c>
      <c r="R582" s="126">
        <v>0</v>
      </c>
      <c r="S582" s="126">
        <f t="shared" si="181"/>
        <v>4219164.3499999996</v>
      </c>
      <c r="T582" s="126">
        <f t="shared" si="180"/>
        <v>3064.2489287529952</v>
      </c>
      <c r="U582" s="126">
        <v>3360.09</v>
      </c>
    </row>
    <row r="583" spans="1:21" s="67" customFormat="1" ht="61.5" x14ac:dyDescent="0.9">
      <c r="A583" s="67">
        <v>1</v>
      </c>
      <c r="B583" s="118">
        <f>SUBTOTAL(103,$A$529:A583)</f>
        <v>54</v>
      </c>
      <c r="C583" s="115" t="s">
        <v>1488</v>
      </c>
      <c r="D583" s="122">
        <v>1961</v>
      </c>
      <c r="E583" s="127"/>
      <c r="F583" s="127" t="s">
        <v>274</v>
      </c>
      <c r="G583" s="122" t="s">
        <v>318</v>
      </c>
      <c r="H583" s="122">
        <v>2</v>
      </c>
      <c r="I583" s="123">
        <v>1130.4000000000001</v>
      </c>
      <c r="J583" s="123">
        <v>1044.5999999999999</v>
      </c>
      <c r="K583" s="123">
        <v>1044.5999999999999</v>
      </c>
      <c r="L583" s="124">
        <v>65</v>
      </c>
      <c r="M583" s="122" t="s">
        <v>272</v>
      </c>
      <c r="N583" s="122" t="s">
        <v>276</v>
      </c>
      <c r="O583" s="125" t="s">
        <v>1506</v>
      </c>
      <c r="P583" s="126">
        <v>3028742.06</v>
      </c>
      <c r="Q583" s="126">
        <v>0</v>
      </c>
      <c r="R583" s="126">
        <v>0</v>
      </c>
      <c r="S583" s="126">
        <f t="shared" si="181"/>
        <v>3028742.06</v>
      </c>
      <c r="T583" s="126">
        <f t="shared" si="180"/>
        <v>2679.3542639773532</v>
      </c>
      <c r="U583" s="126">
        <v>2910.24</v>
      </c>
    </row>
    <row r="584" spans="1:21" s="67" customFormat="1" ht="61.5" x14ac:dyDescent="0.9">
      <c r="A584" s="67">
        <v>1</v>
      </c>
      <c r="B584" s="118">
        <f>SUBTOTAL(103,$A$529:A584)</f>
        <v>55</v>
      </c>
      <c r="C584" s="115" t="s">
        <v>597</v>
      </c>
      <c r="D584" s="122">
        <v>1958</v>
      </c>
      <c r="E584" s="127"/>
      <c r="F584" s="127" t="s">
        <v>274</v>
      </c>
      <c r="G584" s="122">
        <v>2</v>
      </c>
      <c r="H584" s="122">
        <v>2</v>
      </c>
      <c r="I584" s="123">
        <v>593.5</v>
      </c>
      <c r="J584" s="123">
        <v>548.79999999999995</v>
      </c>
      <c r="K584" s="123">
        <v>511.1</v>
      </c>
      <c r="L584" s="124">
        <v>26</v>
      </c>
      <c r="M584" s="122" t="s">
        <v>272</v>
      </c>
      <c r="N584" s="122" t="s">
        <v>276</v>
      </c>
      <c r="O584" s="125" t="s">
        <v>1048</v>
      </c>
      <c r="P584" s="126">
        <v>80000</v>
      </c>
      <c r="Q584" s="126">
        <v>0</v>
      </c>
      <c r="R584" s="126">
        <v>0</v>
      </c>
      <c r="S584" s="126">
        <f t="shared" si="181"/>
        <v>80000</v>
      </c>
      <c r="T584" s="126">
        <f t="shared" si="180"/>
        <v>134.79359730412804</v>
      </c>
      <c r="U584" s="126">
        <f>T584</f>
        <v>134.79359730412804</v>
      </c>
    </row>
    <row r="585" spans="1:21" s="67" customFormat="1" ht="61.5" x14ac:dyDescent="0.9">
      <c r="A585" s="67">
        <v>1</v>
      </c>
      <c r="B585" s="118">
        <f>SUBTOTAL(103,$A$529:A585)</f>
        <v>56</v>
      </c>
      <c r="C585" s="115" t="s">
        <v>598</v>
      </c>
      <c r="D585" s="122" t="s">
        <v>319</v>
      </c>
      <c r="E585" s="127"/>
      <c r="F585" s="127" t="s">
        <v>274</v>
      </c>
      <c r="G585" s="122" t="s">
        <v>363</v>
      </c>
      <c r="H585" s="122">
        <v>1</v>
      </c>
      <c r="I585" s="123">
        <v>658.3</v>
      </c>
      <c r="J585" s="123">
        <v>606.6</v>
      </c>
      <c r="K585" s="123">
        <v>287.10000000000002</v>
      </c>
      <c r="L585" s="124">
        <v>17</v>
      </c>
      <c r="M585" s="122" t="s">
        <v>272</v>
      </c>
      <c r="N585" s="122" t="s">
        <v>276</v>
      </c>
      <c r="O585" s="125" t="s">
        <v>1068</v>
      </c>
      <c r="P585" s="126">
        <v>70000</v>
      </c>
      <c r="Q585" s="126">
        <v>0</v>
      </c>
      <c r="R585" s="126">
        <v>0</v>
      </c>
      <c r="S585" s="126">
        <f t="shared" si="181"/>
        <v>70000</v>
      </c>
      <c r="T585" s="126">
        <f t="shared" si="180"/>
        <v>106.33449794926327</v>
      </c>
      <c r="U585" s="126">
        <f t="shared" ref="U585:U641" si="182">T585</f>
        <v>106.33449794926327</v>
      </c>
    </row>
    <row r="586" spans="1:21" s="67" customFormat="1" ht="61.5" x14ac:dyDescent="0.9">
      <c r="A586" s="67">
        <v>1</v>
      </c>
      <c r="B586" s="118">
        <f>SUBTOTAL(103,$A$529:A586)</f>
        <v>57</v>
      </c>
      <c r="C586" s="115" t="s">
        <v>1143</v>
      </c>
      <c r="D586" s="122">
        <v>1962</v>
      </c>
      <c r="E586" s="127"/>
      <c r="F586" s="127" t="s">
        <v>274</v>
      </c>
      <c r="G586" s="122">
        <v>3</v>
      </c>
      <c r="H586" s="122">
        <v>2</v>
      </c>
      <c r="I586" s="123">
        <v>970.2</v>
      </c>
      <c r="J586" s="123">
        <v>615</v>
      </c>
      <c r="K586" s="123">
        <v>615</v>
      </c>
      <c r="L586" s="124">
        <v>60</v>
      </c>
      <c r="M586" s="122" t="s">
        <v>272</v>
      </c>
      <c r="N586" s="122" t="s">
        <v>276</v>
      </c>
      <c r="O586" s="125" t="s">
        <v>1152</v>
      </c>
      <c r="P586" s="126">
        <v>80000</v>
      </c>
      <c r="Q586" s="126">
        <v>0</v>
      </c>
      <c r="R586" s="126">
        <v>0</v>
      </c>
      <c r="S586" s="126">
        <f t="shared" si="181"/>
        <v>80000</v>
      </c>
      <c r="T586" s="126">
        <f t="shared" si="180"/>
        <v>82.457225314368173</v>
      </c>
      <c r="U586" s="126">
        <f t="shared" si="182"/>
        <v>82.457225314368173</v>
      </c>
    </row>
    <row r="587" spans="1:21" s="67" customFormat="1" ht="61.5" x14ac:dyDescent="0.9">
      <c r="A587" s="67">
        <v>1</v>
      </c>
      <c r="B587" s="118">
        <f>SUBTOTAL(103,$A$529:A587)</f>
        <v>58</v>
      </c>
      <c r="C587" s="115" t="s">
        <v>599</v>
      </c>
      <c r="D587" s="122" t="s">
        <v>324</v>
      </c>
      <c r="E587" s="127"/>
      <c r="F587" s="127" t="s">
        <v>321</v>
      </c>
      <c r="G587" s="122" t="s">
        <v>363</v>
      </c>
      <c r="H587" s="122">
        <v>3</v>
      </c>
      <c r="I587" s="123">
        <v>2819.1</v>
      </c>
      <c r="J587" s="123">
        <v>2571.8000000000002</v>
      </c>
      <c r="K587" s="123">
        <v>1698</v>
      </c>
      <c r="L587" s="124">
        <v>109</v>
      </c>
      <c r="M587" s="122" t="s">
        <v>272</v>
      </c>
      <c r="N587" s="122" t="s">
        <v>276</v>
      </c>
      <c r="O587" s="125" t="s">
        <v>1044</v>
      </c>
      <c r="P587" s="126">
        <v>100000</v>
      </c>
      <c r="Q587" s="126">
        <v>0</v>
      </c>
      <c r="R587" s="126">
        <v>0</v>
      </c>
      <c r="S587" s="126">
        <f t="shared" si="181"/>
        <v>100000</v>
      </c>
      <c r="T587" s="126">
        <f t="shared" si="180"/>
        <v>35.472313859033029</v>
      </c>
      <c r="U587" s="126">
        <f t="shared" si="182"/>
        <v>35.472313859033029</v>
      </c>
    </row>
    <row r="588" spans="1:21" s="67" customFormat="1" ht="61.5" x14ac:dyDescent="0.9">
      <c r="A588" s="67">
        <v>1</v>
      </c>
      <c r="B588" s="118">
        <f>SUBTOTAL(103,$A$529:A588)</f>
        <v>59</v>
      </c>
      <c r="C588" s="115" t="s">
        <v>600</v>
      </c>
      <c r="D588" s="122" t="s">
        <v>319</v>
      </c>
      <c r="E588" s="127"/>
      <c r="F588" s="127" t="s">
        <v>274</v>
      </c>
      <c r="G588" s="122" t="s">
        <v>369</v>
      </c>
      <c r="H588" s="122">
        <v>1</v>
      </c>
      <c r="I588" s="123">
        <v>3295.9</v>
      </c>
      <c r="J588" s="123">
        <v>2784.3</v>
      </c>
      <c r="K588" s="123">
        <v>2287.3000000000002</v>
      </c>
      <c r="L588" s="124">
        <v>98</v>
      </c>
      <c r="M588" s="122" t="s">
        <v>272</v>
      </c>
      <c r="N588" s="122" t="s">
        <v>276</v>
      </c>
      <c r="O588" s="125" t="s">
        <v>1044</v>
      </c>
      <c r="P588" s="126">
        <v>70000</v>
      </c>
      <c r="Q588" s="126">
        <v>0</v>
      </c>
      <c r="R588" s="126">
        <v>0</v>
      </c>
      <c r="S588" s="126">
        <f t="shared" si="181"/>
        <v>70000</v>
      </c>
      <c r="T588" s="126">
        <f t="shared" si="180"/>
        <v>21.23850844989229</v>
      </c>
      <c r="U588" s="126">
        <f t="shared" si="182"/>
        <v>21.23850844989229</v>
      </c>
    </row>
    <row r="589" spans="1:21" s="67" customFormat="1" ht="61.5" x14ac:dyDescent="0.9">
      <c r="A589" s="67">
        <v>1</v>
      </c>
      <c r="B589" s="118">
        <f>SUBTOTAL(103,$A$529:A589)</f>
        <v>60</v>
      </c>
      <c r="C589" s="115" t="s">
        <v>601</v>
      </c>
      <c r="D589" s="122" t="s">
        <v>324</v>
      </c>
      <c r="E589" s="127"/>
      <c r="F589" s="127" t="s">
        <v>321</v>
      </c>
      <c r="G589" s="122" t="s">
        <v>363</v>
      </c>
      <c r="H589" s="122">
        <v>5</v>
      </c>
      <c r="I589" s="123">
        <v>5771.6</v>
      </c>
      <c r="J589" s="123">
        <v>4780.3999999999996</v>
      </c>
      <c r="K589" s="123">
        <v>4455.8999999999996</v>
      </c>
      <c r="L589" s="124">
        <v>241</v>
      </c>
      <c r="M589" s="122" t="s">
        <v>272</v>
      </c>
      <c r="N589" s="122" t="s">
        <v>276</v>
      </c>
      <c r="O589" s="125" t="s">
        <v>1044</v>
      </c>
      <c r="P589" s="126">
        <v>100000</v>
      </c>
      <c r="Q589" s="126">
        <v>0</v>
      </c>
      <c r="R589" s="126">
        <v>0</v>
      </c>
      <c r="S589" s="126">
        <f t="shared" si="181"/>
        <v>100000</v>
      </c>
      <c r="T589" s="126">
        <f t="shared" si="180"/>
        <v>17.326218033127727</v>
      </c>
      <c r="U589" s="126">
        <f t="shared" si="182"/>
        <v>17.326218033127727</v>
      </c>
    </row>
    <row r="590" spans="1:21" s="67" customFormat="1" ht="61.5" x14ac:dyDescent="0.9">
      <c r="A590" s="67">
        <v>1</v>
      </c>
      <c r="B590" s="118">
        <f>SUBTOTAL(103,$A$529:A590)</f>
        <v>61</v>
      </c>
      <c r="C590" s="115" t="s">
        <v>602</v>
      </c>
      <c r="D590" s="122" t="s">
        <v>364</v>
      </c>
      <c r="E590" s="127"/>
      <c r="F590" s="127" t="s">
        <v>274</v>
      </c>
      <c r="G590" s="122" t="s">
        <v>369</v>
      </c>
      <c r="H590" s="122">
        <v>1</v>
      </c>
      <c r="I590" s="123">
        <v>2826.2</v>
      </c>
      <c r="J590" s="123">
        <v>2772.3</v>
      </c>
      <c r="K590" s="123">
        <v>1324.2</v>
      </c>
      <c r="L590" s="124">
        <v>97</v>
      </c>
      <c r="M590" s="122" t="s">
        <v>272</v>
      </c>
      <c r="N590" s="122" t="s">
        <v>276</v>
      </c>
      <c r="O590" s="125" t="s">
        <v>1044</v>
      </c>
      <c r="P590" s="126">
        <v>100000</v>
      </c>
      <c r="Q590" s="126">
        <v>0</v>
      </c>
      <c r="R590" s="126">
        <v>0</v>
      </c>
      <c r="S590" s="126">
        <f t="shared" si="181"/>
        <v>100000</v>
      </c>
      <c r="T590" s="126">
        <f t="shared" ref="T590:T653" si="183">P590/I590</f>
        <v>35.38320005661312</v>
      </c>
      <c r="U590" s="126">
        <f t="shared" si="182"/>
        <v>35.38320005661312</v>
      </c>
    </row>
    <row r="591" spans="1:21" s="67" customFormat="1" ht="61.5" x14ac:dyDescent="0.9">
      <c r="A591" s="67">
        <v>1</v>
      </c>
      <c r="B591" s="118">
        <f>SUBTOTAL(103,$A$529:A591)</f>
        <v>62</v>
      </c>
      <c r="C591" s="115" t="s">
        <v>603</v>
      </c>
      <c r="D591" s="122" t="s">
        <v>327</v>
      </c>
      <c r="E591" s="127"/>
      <c r="F591" s="127" t="s">
        <v>321</v>
      </c>
      <c r="G591" s="122" t="s">
        <v>363</v>
      </c>
      <c r="H591" s="122">
        <v>3</v>
      </c>
      <c r="I591" s="123">
        <v>2495.6</v>
      </c>
      <c r="J591" s="123">
        <v>2297</v>
      </c>
      <c r="K591" s="123">
        <v>2070.8000000000002</v>
      </c>
      <c r="L591" s="124">
        <v>94</v>
      </c>
      <c r="M591" s="122" t="s">
        <v>272</v>
      </c>
      <c r="N591" s="122" t="s">
        <v>276</v>
      </c>
      <c r="O591" s="125" t="s">
        <v>1069</v>
      </c>
      <c r="P591" s="126">
        <v>100000</v>
      </c>
      <c r="Q591" s="126">
        <v>0</v>
      </c>
      <c r="R591" s="126">
        <v>0</v>
      </c>
      <c r="S591" s="126">
        <f t="shared" si="181"/>
        <v>100000</v>
      </c>
      <c r="T591" s="126">
        <f t="shared" si="183"/>
        <v>40.070524122455524</v>
      </c>
      <c r="U591" s="126">
        <f t="shared" si="182"/>
        <v>40.070524122455524</v>
      </c>
    </row>
    <row r="592" spans="1:21" s="67" customFormat="1" ht="61.5" x14ac:dyDescent="0.9">
      <c r="A592" s="67">
        <v>1</v>
      </c>
      <c r="B592" s="118">
        <f>SUBTOTAL(103,$A$529:A592)</f>
        <v>63</v>
      </c>
      <c r="C592" s="115" t="s">
        <v>604</v>
      </c>
      <c r="D592" s="122" t="s">
        <v>383</v>
      </c>
      <c r="E592" s="127"/>
      <c r="F592" s="127" t="s">
        <v>274</v>
      </c>
      <c r="G592" s="122" t="s">
        <v>369</v>
      </c>
      <c r="H592" s="122">
        <v>1</v>
      </c>
      <c r="I592" s="123">
        <v>6352.8</v>
      </c>
      <c r="J592" s="123">
        <v>4687.3999999999996</v>
      </c>
      <c r="K592" s="123">
        <v>2543.4</v>
      </c>
      <c r="L592" s="124">
        <v>211</v>
      </c>
      <c r="M592" s="122" t="s">
        <v>272</v>
      </c>
      <c r="N592" s="122" t="s">
        <v>276</v>
      </c>
      <c r="O592" s="125" t="s">
        <v>1046</v>
      </c>
      <c r="P592" s="126">
        <v>100000</v>
      </c>
      <c r="Q592" s="126">
        <v>0</v>
      </c>
      <c r="R592" s="126">
        <v>0</v>
      </c>
      <c r="S592" s="126">
        <f t="shared" si="181"/>
        <v>100000</v>
      </c>
      <c r="T592" s="126">
        <f t="shared" si="183"/>
        <v>15.741090542752801</v>
      </c>
      <c r="U592" s="126">
        <f t="shared" si="182"/>
        <v>15.741090542752801</v>
      </c>
    </row>
    <row r="593" spans="1:21" s="67" customFormat="1" ht="61.5" x14ac:dyDescent="0.9">
      <c r="A593" s="67">
        <v>1</v>
      </c>
      <c r="B593" s="118">
        <f>SUBTOTAL(103,$A$529:A593)</f>
        <v>64</v>
      </c>
      <c r="C593" s="115" t="s">
        <v>605</v>
      </c>
      <c r="D593" s="122" t="s">
        <v>333</v>
      </c>
      <c r="E593" s="127"/>
      <c r="F593" s="127" t="s">
        <v>274</v>
      </c>
      <c r="G593" s="122">
        <v>5</v>
      </c>
      <c r="H593" s="122">
        <v>6</v>
      </c>
      <c r="I593" s="123">
        <v>5698.9</v>
      </c>
      <c r="J593" s="123">
        <v>5065.3999999999996</v>
      </c>
      <c r="K593" s="123">
        <v>4813.7</v>
      </c>
      <c r="L593" s="124">
        <v>254</v>
      </c>
      <c r="M593" s="122" t="s">
        <v>272</v>
      </c>
      <c r="N593" s="122" t="s">
        <v>276</v>
      </c>
      <c r="O593" s="125" t="s">
        <v>1050</v>
      </c>
      <c r="P593" s="126">
        <v>100000</v>
      </c>
      <c r="Q593" s="126">
        <v>0</v>
      </c>
      <c r="R593" s="126">
        <v>0</v>
      </c>
      <c r="S593" s="126">
        <f t="shared" ref="S593:S641" si="184">P593-Q593-R593</f>
        <v>100000</v>
      </c>
      <c r="T593" s="126">
        <f t="shared" si="183"/>
        <v>17.547245959746618</v>
      </c>
      <c r="U593" s="126">
        <f t="shared" si="182"/>
        <v>17.547245959746618</v>
      </c>
    </row>
    <row r="594" spans="1:21" s="67" customFormat="1" ht="61.5" x14ac:dyDescent="0.9">
      <c r="A594" s="67">
        <v>1</v>
      </c>
      <c r="B594" s="118">
        <f>SUBTOTAL(103,$A$529:A594)</f>
        <v>65</v>
      </c>
      <c r="C594" s="115" t="s">
        <v>606</v>
      </c>
      <c r="D594" s="122" t="s">
        <v>384</v>
      </c>
      <c r="E594" s="127"/>
      <c r="F594" s="127" t="s">
        <v>321</v>
      </c>
      <c r="G594" s="122" t="s">
        <v>363</v>
      </c>
      <c r="H594" s="122">
        <v>4</v>
      </c>
      <c r="I594" s="123">
        <v>4042.4</v>
      </c>
      <c r="J594" s="123">
        <v>3045.4</v>
      </c>
      <c r="K594" s="123">
        <v>2978.7</v>
      </c>
      <c r="L594" s="124">
        <v>118</v>
      </c>
      <c r="M594" s="122" t="s">
        <v>272</v>
      </c>
      <c r="N594" s="122" t="s">
        <v>276</v>
      </c>
      <c r="O594" s="125" t="s">
        <v>1045</v>
      </c>
      <c r="P594" s="126">
        <v>100000</v>
      </c>
      <c r="Q594" s="126">
        <v>0</v>
      </c>
      <c r="R594" s="126">
        <v>0</v>
      </c>
      <c r="S594" s="126">
        <f t="shared" si="184"/>
        <v>100000</v>
      </c>
      <c r="T594" s="126">
        <f t="shared" si="183"/>
        <v>24.737779536908768</v>
      </c>
      <c r="U594" s="126">
        <f t="shared" si="182"/>
        <v>24.737779536908768</v>
      </c>
    </row>
    <row r="595" spans="1:21" s="67" customFormat="1" ht="61.5" x14ac:dyDescent="0.9">
      <c r="A595" s="67">
        <v>1</v>
      </c>
      <c r="B595" s="118">
        <f>SUBTOTAL(103,$A$529:A595)</f>
        <v>66</v>
      </c>
      <c r="C595" s="115" t="s">
        <v>607</v>
      </c>
      <c r="D595" s="122">
        <v>1971</v>
      </c>
      <c r="E595" s="127"/>
      <c r="F595" s="127" t="s">
        <v>274</v>
      </c>
      <c r="G595" s="122">
        <v>5</v>
      </c>
      <c r="H595" s="122">
        <v>5</v>
      </c>
      <c r="I595" s="123">
        <v>4541.8</v>
      </c>
      <c r="J595" s="123">
        <v>4541.8</v>
      </c>
      <c r="K595" s="123">
        <v>4403.2</v>
      </c>
      <c r="L595" s="124">
        <v>250</v>
      </c>
      <c r="M595" s="122" t="s">
        <v>272</v>
      </c>
      <c r="N595" s="122" t="s">
        <v>276</v>
      </c>
      <c r="O595" s="125" t="s">
        <v>359</v>
      </c>
      <c r="P595" s="126">
        <v>100000</v>
      </c>
      <c r="Q595" s="126">
        <v>0</v>
      </c>
      <c r="R595" s="126">
        <v>0</v>
      </c>
      <c r="S595" s="126">
        <f t="shared" si="184"/>
        <v>100000</v>
      </c>
      <c r="T595" s="126">
        <f t="shared" si="183"/>
        <v>22.017702232595006</v>
      </c>
      <c r="U595" s="126">
        <f t="shared" si="182"/>
        <v>22.017702232595006</v>
      </c>
    </row>
    <row r="596" spans="1:21" s="67" customFormat="1" ht="61.5" x14ac:dyDescent="0.9">
      <c r="A596" s="67">
        <v>1</v>
      </c>
      <c r="B596" s="118">
        <f>SUBTOTAL(103,$A$529:A596)</f>
        <v>67</v>
      </c>
      <c r="C596" s="115" t="s">
        <v>608</v>
      </c>
      <c r="D596" s="122" t="s">
        <v>319</v>
      </c>
      <c r="E596" s="127"/>
      <c r="F596" s="127" t="s">
        <v>321</v>
      </c>
      <c r="G596" s="122" t="s">
        <v>363</v>
      </c>
      <c r="H596" s="122">
        <v>6</v>
      </c>
      <c r="I596" s="123">
        <v>6071.1</v>
      </c>
      <c r="J596" s="123">
        <v>4547.3999999999996</v>
      </c>
      <c r="K596" s="123">
        <v>4155.2</v>
      </c>
      <c r="L596" s="124">
        <v>204</v>
      </c>
      <c r="M596" s="122" t="s">
        <v>272</v>
      </c>
      <c r="N596" s="122" t="s">
        <v>276</v>
      </c>
      <c r="O596" s="125" t="s">
        <v>1045</v>
      </c>
      <c r="P596" s="126">
        <v>100000</v>
      </c>
      <c r="Q596" s="126">
        <v>0</v>
      </c>
      <c r="R596" s="126">
        <v>0</v>
      </c>
      <c r="S596" s="126">
        <f t="shared" si="184"/>
        <v>100000</v>
      </c>
      <c r="T596" s="126">
        <f t="shared" si="183"/>
        <v>16.471479633015434</v>
      </c>
      <c r="U596" s="126">
        <f t="shared" si="182"/>
        <v>16.471479633015434</v>
      </c>
    </row>
    <row r="597" spans="1:21" s="67" customFormat="1" ht="61.5" x14ac:dyDescent="0.9">
      <c r="A597" s="67">
        <v>1</v>
      </c>
      <c r="B597" s="118">
        <f>SUBTOTAL(103,$A$529:A597)</f>
        <v>68</v>
      </c>
      <c r="C597" s="115" t="s">
        <v>609</v>
      </c>
      <c r="D597" s="122" t="s">
        <v>382</v>
      </c>
      <c r="E597" s="127"/>
      <c r="F597" s="127" t="s">
        <v>321</v>
      </c>
      <c r="G597" s="122" t="s">
        <v>385</v>
      </c>
      <c r="H597" s="122">
        <v>2</v>
      </c>
      <c r="I597" s="123">
        <v>2963</v>
      </c>
      <c r="J597" s="123">
        <v>2175.9</v>
      </c>
      <c r="K597" s="123">
        <v>2084.1</v>
      </c>
      <c r="L597" s="124">
        <v>123</v>
      </c>
      <c r="M597" s="122" t="s">
        <v>272</v>
      </c>
      <c r="N597" s="122" t="s">
        <v>276</v>
      </c>
      <c r="O597" s="125" t="s">
        <v>1045</v>
      </c>
      <c r="P597" s="126">
        <v>100000</v>
      </c>
      <c r="Q597" s="126">
        <v>0</v>
      </c>
      <c r="R597" s="126">
        <v>0</v>
      </c>
      <c r="S597" s="126">
        <f t="shared" si="184"/>
        <v>100000</v>
      </c>
      <c r="T597" s="126">
        <f t="shared" si="183"/>
        <v>33.74957813027337</v>
      </c>
      <c r="U597" s="126">
        <f t="shared" si="182"/>
        <v>33.74957813027337</v>
      </c>
    </row>
    <row r="598" spans="1:21" s="67" customFormat="1" ht="61.5" x14ac:dyDescent="0.9">
      <c r="A598" s="67">
        <v>1</v>
      </c>
      <c r="B598" s="118">
        <f>SUBTOTAL(103,$A$529:A598)</f>
        <v>69</v>
      </c>
      <c r="C598" s="115" t="s">
        <v>610</v>
      </c>
      <c r="D598" s="122" t="s">
        <v>323</v>
      </c>
      <c r="E598" s="127"/>
      <c r="F598" s="127" t="s">
        <v>321</v>
      </c>
      <c r="G598" s="122" t="s">
        <v>385</v>
      </c>
      <c r="H598" s="122">
        <v>2</v>
      </c>
      <c r="I598" s="123">
        <v>2482.1</v>
      </c>
      <c r="J598" s="123">
        <v>2181.5500000000002</v>
      </c>
      <c r="K598" s="123">
        <v>1858.6</v>
      </c>
      <c r="L598" s="124">
        <v>96</v>
      </c>
      <c r="M598" s="122" t="s">
        <v>272</v>
      </c>
      <c r="N598" s="122" t="s">
        <v>276</v>
      </c>
      <c r="O598" s="125" t="s">
        <v>1048</v>
      </c>
      <c r="P598" s="126">
        <v>99900</v>
      </c>
      <c r="Q598" s="126">
        <v>0</v>
      </c>
      <c r="R598" s="126">
        <v>0</v>
      </c>
      <c r="S598" s="126">
        <f t="shared" si="184"/>
        <v>99900</v>
      </c>
      <c r="T598" s="126">
        <f t="shared" si="183"/>
        <v>40.248176946940092</v>
      </c>
      <c r="U598" s="126">
        <f t="shared" si="182"/>
        <v>40.248176946940092</v>
      </c>
    </row>
    <row r="599" spans="1:21" s="67" customFormat="1" ht="61.5" x14ac:dyDescent="0.9">
      <c r="A599" s="67">
        <v>1</v>
      </c>
      <c r="B599" s="118">
        <f>SUBTOTAL(103,$A$529:A599)</f>
        <v>70</v>
      </c>
      <c r="C599" s="115" t="s">
        <v>611</v>
      </c>
      <c r="D599" s="122" t="s">
        <v>386</v>
      </c>
      <c r="E599" s="127"/>
      <c r="F599" s="127" t="s">
        <v>321</v>
      </c>
      <c r="G599" s="122" t="s">
        <v>363</v>
      </c>
      <c r="H599" s="122">
        <v>4</v>
      </c>
      <c r="I599" s="123">
        <v>3579.9</v>
      </c>
      <c r="J599" s="123">
        <v>3134.6</v>
      </c>
      <c r="K599" s="123">
        <v>3134.6</v>
      </c>
      <c r="L599" s="124">
        <v>151</v>
      </c>
      <c r="M599" s="122" t="s">
        <v>272</v>
      </c>
      <c r="N599" s="122" t="s">
        <v>276</v>
      </c>
      <c r="O599" s="125" t="s">
        <v>1050</v>
      </c>
      <c r="P599" s="126">
        <v>100000</v>
      </c>
      <c r="Q599" s="126">
        <v>0</v>
      </c>
      <c r="R599" s="126">
        <v>0</v>
      </c>
      <c r="S599" s="126">
        <f t="shared" si="184"/>
        <v>100000</v>
      </c>
      <c r="T599" s="126">
        <f t="shared" si="183"/>
        <v>27.933741165954356</v>
      </c>
      <c r="U599" s="126">
        <f t="shared" si="182"/>
        <v>27.933741165954356</v>
      </c>
    </row>
    <row r="600" spans="1:21" s="67" customFormat="1" ht="61.5" x14ac:dyDescent="0.9">
      <c r="A600" s="67">
        <v>1</v>
      </c>
      <c r="B600" s="118">
        <f>SUBTOTAL(103,$A$529:A600)</f>
        <v>71</v>
      </c>
      <c r="C600" s="115" t="s">
        <v>612</v>
      </c>
      <c r="D600" s="122" t="s">
        <v>387</v>
      </c>
      <c r="E600" s="127"/>
      <c r="F600" s="127" t="s">
        <v>274</v>
      </c>
      <c r="G600" s="122" t="s">
        <v>322</v>
      </c>
      <c r="H600" s="122">
        <v>1</v>
      </c>
      <c r="I600" s="123">
        <v>1637</v>
      </c>
      <c r="J600" s="123">
        <v>983.6</v>
      </c>
      <c r="K600" s="123">
        <v>768.5</v>
      </c>
      <c r="L600" s="124">
        <v>71</v>
      </c>
      <c r="M600" s="122" t="s">
        <v>272</v>
      </c>
      <c r="N600" s="122" t="s">
        <v>276</v>
      </c>
      <c r="O600" s="125" t="s">
        <v>1048</v>
      </c>
      <c r="P600" s="126">
        <v>100000</v>
      </c>
      <c r="Q600" s="126">
        <v>0</v>
      </c>
      <c r="R600" s="126">
        <v>0</v>
      </c>
      <c r="S600" s="126">
        <f t="shared" si="184"/>
        <v>100000</v>
      </c>
      <c r="T600" s="126">
        <f t="shared" si="183"/>
        <v>61.087354917532068</v>
      </c>
      <c r="U600" s="126">
        <f t="shared" si="182"/>
        <v>61.087354917532068</v>
      </c>
    </row>
    <row r="601" spans="1:21" s="67" customFormat="1" ht="61.5" x14ac:dyDescent="0.9">
      <c r="A601" s="67">
        <v>1</v>
      </c>
      <c r="B601" s="118">
        <f>SUBTOTAL(103,$A$529:A601)</f>
        <v>72</v>
      </c>
      <c r="C601" s="115" t="s">
        <v>613</v>
      </c>
      <c r="D601" s="122" t="s">
        <v>320</v>
      </c>
      <c r="E601" s="127"/>
      <c r="F601" s="127" t="s">
        <v>321</v>
      </c>
      <c r="G601" s="122" t="s">
        <v>363</v>
      </c>
      <c r="H601" s="122">
        <v>3</v>
      </c>
      <c r="I601" s="123">
        <v>2249.1</v>
      </c>
      <c r="J601" s="123">
        <v>2046.7</v>
      </c>
      <c r="K601" s="123">
        <v>2046.7</v>
      </c>
      <c r="L601" s="124">
        <v>97</v>
      </c>
      <c r="M601" s="122" t="s">
        <v>272</v>
      </c>
      <c r="N601" s="122" t="s">
        <v>276</v>
      </c>
      <c r="O601" s="125" t="s">
        <v>1050</v>
      </c>
      <c r="P601" s="126">
        <v>100000</v>
      </c>
      <c r="Q601" s="126">
        <v>0</v>
      </c>
      <c r="R601" s="126">
        <v>0</v>
      </c>
      <c r="S601" s="126">
        <f t="shared" si="184"/>
        <v>100000</v>
      </c>
      <c r="T601" s="126">
        <f t="shared" si="183"/>
        <v>44.462229336178915</v>
      </c>
      <c r="U601" s="126">
        <f t="shared" si="182"/>
        <v>44.462229336178915</v>
      </c>
    </row>
    <row r="602" spans="1:21" s="67" customFormat="1" ht="61.5" x14ac:dyDescent="0.9">
      <c r="A602" s="67">
        <v>1</v>
      </c>
      <c r="B602" s="118">
        <f>SUBTOTAL(103,$A$529:A602)</f>
        <v>73</v>
      </c>
      <c r="C602" s="115" t="s">
        <v>614</v>
      </c>
      <c r="D602" s="122" t="s">
        <v>320</v>
      </c>
      <c r="E602" s="127"/>
      <c r="F602" s="127" t="s">
        <v>274</v>
      </c>
      <c r="G602" s="122" t="s">
        <v>363</v>
      </c>
      <c r="H602" s="122">
        <v>1</v>
      </c>
      <c r="I602" s="123">
        <v>867.9</v>
      </c>
      <c r="J602" s="123">
        <v>809.2</v>
      </c>
      <c r="K602" s="123">
        <v>766.2</v>
      </c>
      <c r="L602" s="124">
        <v>36</v>
      </c>
      <c r="M602" s="122" t="s">
        <v>272</v>
      </c>
      <c r="N602" s="122" t="s">
        <v>276</v>
      </c>
      <c r="O602" s="125" t="s">
        <v>360</v>
      </c>
      <c r="P602" s="126">
        <v>100000</v>
      </c>
      <c r="Q602" s="126">
        <v>0</v>
      </c>
      <c r="R602" s="126">
        <v>0</v>
      </c>
      <c r="S602" s="126">
        <f t="shared" si="184"/>
        <v>100000</v>
      </c>
      <c r="T602" s="126">
        <f t="shared" si="183"/>
        <v>115.22064754003918</v>
      </c>
      <c r="U602" s="126">
        <f t="shared" si="182"/>
        <v>115.22064754003918</v>
      </c>
    </row>
    <row r="603" spans="1:21" s="67" customFormat="1" ht="61.5" x14ac:dyDescent="0.9">
      <c r="A603" s="67">
        <v>1</v>
      </c>
      <c r="B603" s="118">
        <f>SUBTOTAL(103,$A$529:A603)</f>
        <v>74</v>
      </c>
      <c r="C603" s="115" t="s">
        <v>615</v>
      </c>
      <c r="D603" s="128" t="s">
        <v>388</v>
      </c>
      <c r="E603" s="127"/>
      <c r="F603" s="127" t="s">
        <v>321</v>
      </c>
      <c r="G603" s="122" t="s">
        <v>363</v>
      </c>
      <c r="H603" s="122">
        <v>3</v>
      </c>
      <c r="I603" s="123">
        <v>2653.8</v>
      </c>
      <c r="J603" s="123">
        <v>2443.1</v>
      </c>
      <c r="K603" s="123">
        <v>2354.1</v>
      </c>
      <c r="L603" s="124">
        <v>102</v>
      </c>
      <c r="M603" s="122" t="s">
        <v>272</v>
      </c>
      <c r="N603" s="122" t="s">
        <v>276</v>
      </c>
      <c r="O603" s="125" t="s">
        <v>1044</v>
      </c>
      <c r="P603" s="126">
        <v>100000</v>
      </c>
      <c r="Q603" s="126">
        <v>0</v>
      </c>
      <c r="R603" s="126">
        <v>0</v>
      </c>
      <c r="S603" s="126">
        <f t="shared" si="184"/>
        <v>100000</v>
      </c>
      <c r="T603" s="126">
        <f t="shared" si="183"/>
        <v>37.681814756198655</v>
      </c>
      <c r="U603" s="126">
        <f t="shared" si="182"/>
        <v>37.681814756198655</v>
      </c>
    </row>
    <row r="604" spans="1:21" s="67" customFormat="1" ht="61.5" x14ac:dyDescent="0.9">
      <c r="A604" s="67">
        <v>1</v>
      </c>
      <c r="B604" s="118">
        <f>SUBTOTAL(103,$A$529:A604)</f>
        <v>75</v>
      </c>
      <c r="C604" s="115" t="s">
        <v>616</v>
      </c>
      <c r="D604" s="128" t="s">
        <v>388</v>
      </c>
      <c r="E604" s="127"/>
      <c r="F604" s="127" t="s">
        <v>321</v>
      </c>
      <c r="G604" s="122" t="s">
        <v>363</v>
      </c>
      <c r="H604" s="122">
        <v>3</v>
      </c>
      <c r="I604" s="123">
        <v>2632.8</v>
      </c>
      <c r="J604" s="123">
        <v>2351.9</v>
      </c>
      <c r="K604" s="123">
        <v>2335.8000000000002</v>
      </c>
      <c r="L604" s="124">
        <v>107</v>
      </c>
      <c r="M604" s="122" t="s">
        <v>272</v>
      </c>
      <c r="N604" s="122" t="s">
        <v>276</v>
      </c>
      <c r="O604" s="125" t="s">
        <v>1044</v>
      </c>
      <c r="P604" s="126">
        <v>100000</v>
      </c>
      <c r="Q604" s="126">
        <v>0</v>
      </c>
      <c r="R604" s="126">
        <v>0</v>
      </c>
      <c r="S604" s="126">
        <f t="shared" si="184"/>
        <v>100000</v>
      </c>
      <c r="T604" s="126">
        <f t="shared" si="183"/>
        <v>37.982376177453659</v>
      </c>
      <c r="U604" s="126">
        <f t="shared" si="182"/>
        <v>37.982376177453659</v>
      </c>
    </row>
    <row r="605" spans="1:21" s="67" customFormat="1" ht="61.5" x14ac:dyDescent="0.9">
      <c r="A605" s="67">
        <v>1</v>
      </c>
      <c r="B605" s="118">
        <f>SUBTOTAL(103,$A$529:A605)</f>
        <v>76</v>
      </c>
      <c r="C605" s="115" t="s">
        <v>617</v>
      </c>
      <c r="D605" s="122" t="s">
        <v>320</v>
      </c>
      <c r="E605" s="127"/>
      <c r="F605" s="127" t="s">
        <v>274</v>
      </c>
      <c r="G605" s="122" t="s">
        <v>369</v>
      </c>
      <c r="H605" s="122">
        <v>1</v>
      </c>
      <c r="I605" s="123">
        <v>3626.2</v>
      </c>
      <c r="J605" s="123">
        <v>3322.8</v>
      </c>
      <c r="K605" s="123">
        <v>3152.1</v>
      </c>
      <c r="L605" s="124">
        <v>152</v>
      </c>
      <c r="M605" s="122" t="s">
        <v>272</v>
      </c>
      <c r="N605" s="122" t="s">
        <v>276</v>
      </c>
      <c r="O605" s="125" t="s">
        <v>1044</v>
      </c>
      <c r="P605" s="126">
        <v>100000</v>
      </c>
      <c r="Q605" s="126">
        <v>0</v>
      </c>
      <c r="R605" s="126">
        <v>0</v>
      </c>
      <c r="S605" s="126">
        <f t="shared" si="184"/>
        <v>100000</v>
      </c>
      <c r="T605" s="126">
        <f t="shared" si="183"/>
        <v>27.577077932822238</v>
      </c>
      <c r="U605" s="126">
        <f t="shared" si="182"/>
        <v>27.577077932822238</v>
      </c>
    </row>
    <row r="606" spans="1:21" s="67" customFormat="1" ht="61.5" x14ac:dyDescent="0.9">
      <c r="A606" s="67">
        <v>1</v>
      </c>
      <c r="B606" s="118">
        <f>SUBTOTAL(103,$A$529:A606)</f>
        <v>77</v>
      </c>
      <c r="C606" s="115" t="s">
        <v>618</v>
      </c>
      <c r="D606" s="122" t="s">
        <v>317</v>
      </c>
      <c r="E606" s="127"/>
      <c r="F606" s="127" t="s">
        <v>321</v>
      </c>
      <c r="G606" s="122" t="s">
        <v>363</v>
      </c>
      <c r="H606" s="122">
        <v>4</v>
      </c>
      <c r="I606" s="123">
        <v>3900.1</v>
      </c>
      <c r="J606" s="123">
        <v>3632.2</v>
      </c>
      <c r="K606" s="123">
        <v>3566.5</v>
      </c>
      <c r="L606" s="124">
        <v>174</v>
      </c>
      <c r="M606" s="122" t="s">
        <v>272</v>
      </c>
      <c r="N606" s="122" t="s">
        <v>276</v>
      </c>
      <c r="O606" s="125" t="s">
        <v>1044</v>
      </c>
      <c r="P606" s="126">
        <v>100000</v>
      </c>
      <c r="Q606" s="126">
        <v>0</v>
      </c>
      <c r="R606" s="126">
        <v>0</v>
      </c>
      <c r="S606" s="126">
        <f t="shared" si="184"/>
        <v>100000</v>
      </c>
      <c r="T606" s="126">
        <f t="shared" si="183"/>
        <v>25.640368195687291</v>
      </c>
      <c r="U606" s="126">
        <f t="shared" si="182"/>
        <v>25.640368195687291</v>
      </c>
    </row>
    <row r="607" spans="1:21" s="67" customFormat="1" ht="61.5" x14ac:dyDescent="0.9">
      <c r="A607" s="67">
        <v>1</v>
      </c>
      <c r="B607" s="118">
        <f>SUBTOTAL(103,$A$529:A607)</f>
        <v>78</v>
      </c>
      <c r="C607" s="115" t="s">
        <v>619</v>
      </c>
      <c r="D607" s="122" t="s">
        <v>389</v>
      </c>
      <c r="E607" s="127"/>
      <c r="F607" s="127" t="s">
        <v>321</v>
      </c>
      <c r="G607" s="122" t="s">
        <v>363</v>
      </c>
      <c r="H607" s="122">
        <v>4</v>
      </c>
      <c r="I607" s="123">
        <v>3861</v>
      </c>
      <c r="J607" s="123">
        <v>3604.2</v>
      </c>
      <c r="K607" s="123">
        <v>3552.1</v>
      </c>
      <c r="L607" s="124">
        <v>165</v>
      </c>
      <c r="M607" s="122" t="s">
        <v>272</v>
      </c>
      <c r="N607" s="122" t="s">
        <v>276</v>
      </c>
      <c r="O607" s="125" t="s">
        <v>1044</v>
      </c>
      <c r="P607" s="126">
        <v>100000</v>
      </c>
      <c r="Q607" s="126">
        <v>0</v>
      </c>
      <c r="R607" s="126">
        <v>0</v>
      </c>
      <c r="S607" s="126">
        <f t="shared" si="184"/>
        <v>100000</v>
      </c>
      <c r="T607" s="126">
        <f t="shared" si="183"/>
        <v>25.900025900025899</v>
      </c>
      <c r="U607" s="126">
        <f t="shared" si="182"/>
        <v>25.900025900025899</v>
      </c>
    </row>
    <row r="608" spans="1:21" s="67" customFormat="1" ht="61.5" x14ac:dyDescent="0.9">
      <c r="A608" s="67">
        <v>1</v>
      </c>
      <c r="B608" s="118">
        <f>SUBTOTAL(103,$A$529:A608)</f>
        <v>79</v>
      </c>
      <c r="C608" s="115" t="s">
        <v>620</v>
      </c>
      <c r="D608" s="122" t="s">
        <v>390</v>
      </c>
      <c r="E608" s="127"/>
      <c r="F608" s="127" t="s">
        <v>274</v>
      </c>
      <c r="G608" s="122" t="s">
        <v>369</v>
      </c>
      <c r="H608" s="122">
        <v>1</v>
      </c>
      <c r="I608" s="123">
        <v>1800.4</v>
      </c>
      <c r="J608" s="123">
        <v>1643.1</v>
      </c>
      <c r="K608" s="123">
        <v>1043.0999999999999</v>
      </c>
      <c r="L608" s="124">
        <v>59</v>
      </c>
      <c r="M608" s="122" t="s">
        <v>272</v>
      </c>
      <c r="N608" s="122" t="s">
        <v>276</v>
      </c>
      <c r="O608" s="125" t="s">
        <v>1058</v>
      </c>
      <c r="P608" s="126">
        <v>100000</v>
      </c>
      <c r="Q608" s="126">
        <v>0</v>
      </c>
      <c r="R608" s="126">
        <v>0</v>
      </c>
      <c r="S608" s="126">
        <f t="shared" si="184"/>
        <v>100000</v>
      </c>
      <c r="T608" s="126">
        <f t="shared" si="183"/>
        <v>55.543212619417908</v>
      </c>
      <c r="U608" s="126">
        <f t="shared" si="182"/>
        <v>55.543212619417908</v>
      </c>
    </row>
    <row r="609" spans="1:21" s="67" customFormat="1" ht="61.5" x14ac:dyDescent="0.9">
      <c r="A609" s="67">
        <v>1</v>
      </c>
      <c r="B609" s="118">
        <f>SUBTOTAL(103,$A$529:A609)</f>
        <v>80</v>
      </c>
      <c r="C609" s="115" t="s">
        <v>621</v>
      </c>
      <c r="D609" s="122">
        <v>1962</v>
      </c>
      <c r="E609" s="127"/>
      <c r="F609" s="127" t="s">
        <v>274</v>
      </c>
      <c r="G609" s="122">
        <v>5</v>
      </c>
      <c r="H609" s="122">
        <v>4</v>
      </c>
      <c r="I609" s="123">
        <v>4073.9</v>
      </c>
      <c r="J609" s="123">
        <v>3133.8</v>
      </c>
      <c r="K609" s="123">
        <v>2004.3</v>
      </c>
      <c r="L609" s="124">
        <v>154</v>
      </c>
      <c r="M609" s="122" t="s">
        <v>272</v>
      </c>
      <c r="N609" s="122" t="s">
        <v>276</v>
      </c>
      <c r="O609" s="125" t="s">
        <v>1046</v>
      </c>
      <c r="P609" s="126">
        <v>100000</v>
      </c>
      <c r="Q609" s="126">
        <v>0</v>
      </c>
      <c r="R609" s="126">
        <v>0</v>
      </c>
      <c r="S609" s="126">
        <f t="shared" si="184"/>
        <v>100000</v>
      </c>
      <c r="T609" s="126">
        <f t="shared" si="183"/>
        <v>24.546503350597707</v>
      </c>
      <c r="U609" s="126">
        <f t="shared" si="182"/>
        <v>24.546503350597707</v>
      </c>
    </row>
    <row r="610" spans="1:21" s="67" customFormat="1" ht="61.5" x14ac:dyDescent="0.9">
      <c r="A610" s="67">
        <v>1</v>
      </c>
      <c r="B610" s="118">
        <f>SUBTOTAL(103,$A$529:A610)</f>
        <v>81</v>
      </c>
      <c r="C610" s="115" t="s">
        <v>622</v>
      </c>
      <c r="D610" s="122" t="s">
        <v>386</v>
      </c>
      <c r="E610" s="127"/>
      <c r="F610" s="127" t="s">
        <v>321</v>
      </c>
      <c r="G610" s="122" t="s">
        <v>363</v>
      </c>
      <c r="H610" s="122">
        <v>6</v>
      </c>
      <c r="I610" s="123">
        <v>5192.3</v>
      </c>
      <c r="J610" s="123">
        <v>4680.5</v>
      </c>
      <c r="K610" s="123">
        <v>4680.5</v>
      </c>
      <c r="L610" s="124">
        <v>526</v>
      </c>
      <c r="M610" s="122" t="s">
        <v>272</v>
      </c>
      <c r="N610" s="122" t="s">
        <v>276</v>
      </c>
      <c r="O610" s="125" t="s">
        <v>1054</v>
      </c>
      <c r="P610" s="126">
        <v>100000</v>
      </c>
      <c r="Q610" s="126">
        <v>0</v>
      </c>
      <c r="R610" s="126">
        <v>0</v>
      </c>
      <c r="S610" s="126">
        <f t="shared" si="184"/>
        <v>100000</v>
      </c>
      <c r="T610" s="126">
        <f t="shared" si="183"/>
        <v>19.259287791537467</v>
      </c>
      <c r="U610" s="126">
        <f t="shared" si="182"/>
        <v>19.259287791537467</v>
      </c>
    </row>
    <row r="611" spans="1:21" s="67" customFormat="1" ht="61.5" x14ac:dyDescent="0.9">
      <c r="A611" s="67">
        <v>1</v>
      </c>
      <c r="B611" s="118">
        <f>SUBTOTAL(103,$A$529:A611)</f>
        <v>82</v>
      </c>
      <c r="C611" s="115" t="s">
        <v>623</v>
      </c>
      <c r="D611" s="122" t="s">
        <v>391</v>
      </c>
      <c r="E611" s="127"/>
      <c r="F611" s="127" t="s">
        <v>321</v>
      </c>
      <c r="G611" s="122" t="s">
        <v>363</v>
      </c>
      <c r="H611" s="122">
        <v>4</v>
      </c>
      <c r="I611" s="123">
        <v>3507.7</v>
      </c>
      <c r="J611" s="123">
        <v>3166</v>
      </c>
      <c r="K611" s="123">
        <v>3166</v>
      </c>
      <c r="L611" s="124">
        <v>356</v>
      </c>
      <c r="M611" s="122" t="s">
        <v>272</v>
      </c>
      <c r="N611" s="122" t="s">
        <v>276</v>
      </c>
      <c r="O611" s="125" t="s">
        <v>1054</v>
      </c>
      <c r="P611" s="126">
        <v>100000</v>
      </c>
      <c r="Q611" s="126">
        <v>0</v>
      </c>
      <c r="R611" s="126">
        <v>0</v>
      </c>
      <c r="S611" s="126">
        <f t="shared" si="184"/>
        <v>100000</v>
      </c>
      <c r="T611" s="126">
        <f t="shared" si="183"/>
        <v>28.508709410724979</v>
      </c>
      <c r="U611" s="126">
        <f t="shared" si="182"/>
        <v>28.508709410724979</v>
      </c>
    </row>
    <row r="612" spans="1:21" s="67" customFormat="1" ht="61.5" x14ac:dyDescent="0.9">
      <c r="A612" s="67">
        <v>1</v>
      </c>
      <c r="B612" s="118">
        <f>SUBTOTAL(103,$A$529:A612)</f>
        <v>83</v>
      </c>
      <c r="C612" s="115" t="s">
        <v>624</v>
      </c>
      <c r="D612" s="122" t="s">
        <v>333</v>
      </c>
      <c r="E612" s="127"/>
      <c r="F612" s="127" t="s">
        <v>321</v>
      </c>
      <c r="G612" s="122" t="s">
        <v>363</v>
      </c>
      <c r="H612" s="122">
        <v>5</v>
      </c>
      <c r="I612" s="123">
        <v>5435.8</v>
      </c>
      <c r="J612" s="123">
        <v>3922.5</v>
      </c>
      <c r="K612" s="123">
        <v>3907.5</v>
      </c>
      <c r="L612" s="124">
        <v>160</v>
      </c>
      <c r="M612" s="122" t="s">
        <v>272</v>
      </c>
      <c r="N612" s="122" t="s">
        <v>276</v>
      </c>
      <c r="O612" s="125" t="s">
        <v>1044</v>
      </c>
      <c r="P612" s="126">
        <v>100000</v>
      </c>
      <c r="Q612" s="126">
        <v>0</v>
      </c>
      <c r="R612" s="126">
        <v>0</v>
      </c>
      <c r="S612" s="126">
        <f t="shared" si="184"/>
        <v>100000</v>
      </c>
      <c r="T612" s="126">
        <f t="shared" si="183"/>
        <v>18.396556164685972</v>
      </c>
      <c r="U612" s="126">
        <f t="shared" si="182"/>
        <v>18.396556164685972</v>
      </c>
    </row>
    <row r="613" spans="1:21" s="67" customFormat="1" ht="61.5" x14ac:dyDescent="0.9">
      <c r="A613" s="67">
        <v>1</v>
      </c>
      <c r="B613" s="118">
        <f>SUBTOTAL(103,$A$529:A613)</f>
        <v>84</v>
      </c>
      <c r="C613" s="115" t="s">
        <v>625</v>
      </c>
      <c r="D613" s="122" t="s">
        <v>372</v>
      </c>
      <c r="E613" s="127"/>
      <c r="F613" s="127" t="s">
        <v>321</v>
      </c>
      <c r="G613" s="122" t="s">
        <v>363</v>
      </c>
      <c r="H613" s="122">
        <v>4</v>
      </c>
      <c r="I613" s="123">
        <v>4425.6000000000004</v>
      </c>
      <c r="J613" s="123">
        <v>3128.2</v>
      </c>
      <c r="K613" s="123">
        <v>1799.3</v>
      </c>
      <c r="L613" s="124">
        <v>137</v>
      </c>
      <c r="M613" s="122" t="s">
        <v>272</v>
      </c>
      <c r="N613" s="122" t="s">
        <v>276</v>
      </c>
      <c r="O613" s="125" t="s">
        <v>1046</v>
      </c>
      <c r="P613" s="126">
        <v>100000</v>
      </c>
      <c r="Q613" s="126">
        <v>0</v>
      </c>
      <c r="R613" s="126">
        <v>0</v>
      </c>
      <c r="S613" s="126">
        <f t="shared" si="184"/>
        <v>100000</v>
      </c>
      <c r="T613" s="126">
        <f t="shared" si="183"/>
        <v>22.595806218365869</v>
      </c>
      <c r="U613" s="126">
        <f t="shared" si="182"/>
        <v>22.595806218365869</v>
      </c>
    </row>
    <row r="614" spans="1:21" s="67" customFormat="1" ht="61.5" x14ac:dyDescent="0.9">
      <c r="A614" s="67">
        <v>1</v>
      </c>
      <c r="B614" s="118">
        <f>SUBTOTAL(103,$A$529:A614)</f>
        <v>85</v>
      </c>
      <c r="C614" s="115" t="s">
        <v>626</v>
      </c>
      <c r="D614" s="122" t="s">
        <v>384</v>
      </c>
      <c r="E614" s="127"/>
      <c r="F614" s="127" t="s">
        <v>321</v>
      </c>
      <c r="G614" s="122" t="s">
        <v>363</v>
      </c>
      <c r="H614" s="122">
        <v>3</v>
      </c>
      <c r="I614" s="123">
        <v>2899.7</v>
      </c>
      <c r="J614" s="123">
        <v>2636.4</v>
      </c>
      <c r="K614" s="123">
        <v>2071.8000000000002</v>
      </c>
      <c r="L614" s="124">
        <v>83</v>
      </c>
      <c r="M614" s="122" t="s">
        <v>272</v>
      </c>
      <c r="N614" s="122" t="s">
        <v>276</v>
      </c>
      <c r="O614" s="125" t="s">
        <v>1044</v>
      </c>
      <c r="P614" s="126">
        <v>100000</v>
      </c>
      <c r="Q614" s="126">
        <v>0</v>
      </c>
      <c r="R614" s="126">
        <v>0</v>
      </c>
      <c r="S614" s="126">
        <f t="shared" si="184"/>
        <v>100000</v>
      </c>
      <c r="T614" s="126">
        <f t="shared" si="183"/>
        <v>34.486326171672935</v>
      </c>
      <c r="U614" s="126">
        <f t="shared" si="182"/>
        <v>34.486326171672935</v>
      </c>
    </row>
    <row r="615" spans="1:21" s="67" customFormat="1" ht="61.5" x14ac:dyDescent="0.9">
      <c r="A615" s="67">
        <v>1</v>
      </c>
      <c r="B615" s="118">
        <f>SUBTOTAL(103,$A$529:A615)</f>
        <v>86</v>
      </c>
      <c r="C615" s="115" t="s">
        <v>627</v>
      </c>
      <c r="D615" s="122">
        <v>1959</v>
      </c>
      <c r="E615" s="127"/>
      <c r="F615" s="127" t="s">
        <v>274</v>
      </c>
      <c r="G615" s="122">
        <v>5</v>
      </c>
      <c r="H615" s="122">
        <v>3</v>
      </c>
      <c r="I615" s="123">
        <v>5255.6</v>
      </c>
      <c r="J615" s="123">
        <v>3803.1</v>
      </c>
      <c r="K615" s="123">
        <v>2288.9</v>
      </c>
      <c r="L615" s="124">
        <v>136</v>
      </c>
      <c r="M615" s="122" t="s">
        <v>272</v>
      </c>
      <c r="N615" s="122" t="s">
        <v>276</v>
      </c>
      <c r="O615" s="125" t="s">
        <v>1046</v>
      </c>
      <c r="P615" s="126">
        <v>100000</v>
      </c>
      <c r="Q615" s="126">
        <v>0</v>
      </c>
      <c r="R615" s="126">
        <v>0</v>
      </c>
      <c r="S615" s="126">
        <f t="shared" si="184"/>
        <v>100000</v>
      </c>
      <c r="T615" s="126">
        <f t="shared" si="183"/>
        <v>19.027323236167135</v>
      </c>
      <c r="U615" s="126">
        <f t="shared" si="182"/>
        <v>19.027323236167135</v>
      </c>
    </row>
    <row r="616" spans="1:21" s="67" customFormat="1" ht="61.5" x14ac:dyDescent="0.9">
      <c r="A616" s="67">
        <v>1</v>
      </c>
      <c r="B616" s="118">
        <f>SUBTOTAL(103,$A$529:A616)</f>
        <v>87</v>
      </c>
      <c r="C616" s="115" t="s">
        <v>628</v>
      </c>
      <c r="D616" s="122" t="s">
        <v>373</v>
      </c>
      <c r="E616" s="127"/>
      <c r="F616" s="127" t="s">
        <v>274</v>
      </c>
      <c r="G616" s="122" t="s">
        <v>363</v>
      </c>
      <c r="H616" s="122">
        <v>3</v>
      </c>
      <c r="I616" s="123">
        <v>2923.9</v>
      </c>
      <c r="J616" s="123">
        <v>2704.4</v>
      </c>
      <c r="K616" s="123">
        <v>1930.7</v>
      </c>
      <c r="L616" s="124">
        <v>105</v>
      </c>
      <c r="M616" s="122" t="s">
        <v>272</v>
      </c>
      <c r="N616" s="122" t="s">
        <v>276</v>
      </c>
      <c r="O616" s="125" t="s">
        <v>1069</v>
      </c>
      <c r="P616" s="126">
        <v>100000</v>
      </c>
      <c r="Q616" s="126">
        <v>0</v>
      </c>
      <c r="R616" s="126">
        <v>0</v>
      </c>
      <c r="S616" s="126">
        <f t="shared" si="184"/>
        <v>100000</v>
      </c>
      <c r="T616" s="126">
        <f t="shared" si="183"/>
        <v>34.200896063476861</v>
      </c>
      <c r="U616" s="126">
        <f t="shared" si="182"/>
        <v>34.200896063476861</v>
      </c>
    </row>
    <row r="617" spans="1:21" s="67" customFormat="1" ht="61.5" x14ac:dyDescent="0.9">
      <c r="A617" s="67">
        <v>1</v>
      </c>
      <c r="B617" s="118">
        <f>SUBTOTAL(103,$A$529:A617)</f>
        <v>88</v>
      </c>
      <c r="C617" s="115" t="s">
        <v>629</v>
      </c>
      <c r="D617" s="122" t="s">
        <v>323</v>
      </c>
      <c r="E617" s="127"/>
      <c r="F617" s="127" t="s">
        <v>321</v>
      </c>
      <c r="G617" s="122" t="s">
        <v>363</v>
      </c>
      <c r="H617" s="122">
        <v>5</v>
      </c>
      <c r="I617" s="123">
        <v>3950.7</v>
      </c>
      <c r="J617" s="123">
        <v>3460</v>
      </c>
      <c r="K617" s="123">
        <v>3460</v>
      </c>
      <c r="L617" s="124">
        <v>133</v>
      </c>
      <c r="M617" s="122" t="s">
        <v>272</v>
      </c>
      <c r="N617" s="122" t="s">
        <v>276</v>
      </c>
      <c r="O617" s="125" t="s">
        <v>1050</v>
      </c>
      <c r="P617" s="126">
        <v>100000</v>
      </c>
      <c r="Q617" s="126">
        <v>0</v>
      </c>
      <c r="R617" s="126">
        <v>0</v>
      </c>
      <c r="S617" s="126">
        <f t="shared" si="184"/>
        <v>100000</v>
      </c>
      <c r="T617" s="126">
        <f t="shared" si="183"/>
        <v>25.311970030627485</v>
      </c>
      <c r="U617" s="126">
        <f t="shared" si="182"/>
        <v>25.311970030627485</v>
      </c>
    </row>
    <row r="618" spans="1:21" s="67" customFormat="1" ht="61.5" x14ac:dyDescent="0.9">
      <c r="A618" s="67">
        <v>1</v>
      </c>
      <c r="B618" s="118">
        <f>SUBTOTAL(103,$A$529:A618)</f>
        <v>89</v>
      </c>
      <c r="C618" s="115" t="s">
        <v>630</v>
      </c>
      <c r="D618" s="122" t="s">
        <v>320</v>
      </c>
      <c r="E618" s="127"/>
      <c r="F618" s="127" t="s">
        <v>274</v>
      </c>
      <c r="G618" s="122" t="s">
        <v>363</v>
      </c>
      <c r="H618" s="122">
        <v>4</v>
      </c>
      <c r="I618" s="123">
        <v>3048.2</v>
      </c>
      <c r="J618" s="123">
        <v>2288.5</v>
      </c>
      <c r="K618" s="123">
        <v>2288.5</v>
      </c>
      <c r="L618" s="124">
        <v>98</v>
      </c>
      <c r="M618" s="122" t="s">
        <v>272</v>
      </c>
      <c r="N618" s="122" t="s">
        <v>276</v>
      </c>
      <c r="O618" s="125" t="s">
        <v>856</v>
      </c>
      <c r="P618" s="126">
        <v>100000</v>
      </c>
      <c r="Q618" s="126">
        <v>0</v>
      </c>
      <c r="R618" s="126">
        <v>0</v>
      </c>
      <c r="S618" s="126">
        <f t="shared" si="184"/>
        <v>100000</v>
      </c>
      <c r="T618" s="126">
        <f t="shared" si="183"/>
        <v>32.806246309297293</v>
      </c>
      <c r="U618" s="126">
        <f t="shared" si="182"/>
        <v>32.806246309297293</v>
      </c>
    </row>
    <row r="619" spans="1:21" s="67" customFormat="1" ht="61.5" x14ac:dyDescent="0.9">
      <c r="A619" s="67">
        <v>1</v>
      </c>
      <c r="B619" s="118">
        <f>SUBTOTAL(103,$A$529:A619)</f>
        <v>90</v>
      </c>
      <c r="C619" s="115" t="s">
        <v>631</v>
      </c>
      <c r="D619" s="122">
        <v>1961</v>
      </c>
      <c r="E619" s="127"/>
      <c r="F619" s="127" t="s">
        <v>274</v>
      </c>
      <c r="G619" s="122">
        <v>5</v>
      </c>
      <c r="H619" s="122">
        <v>2</v>
      </c>
      <c r="I619" s="123">
        <v>1703.9</v>
      </c>
      <c r="J619" s="123">
        <v>1558.5</v>
      </c>
      <c r="K619" s="123">
        <v>1516.4</v>
      </c>
      <c r="L619" s="124">
        <v>58</v>
      </c>
      <c r="M619" s="122" t="s">
        <v>272</v>
      </c>
      <c r="N619" s="122" t="s">
        <v>276</v>
      </c>
      <c r="O619" s="125" t="s">
        <v>360</v>
      </c>
      <c r="P619" s="126">
        <v>120000.25</v>
      </c>
      <c r="Q619" s="126">
        <v>0</v>
      </c>
      <c r="R619" s="126">
        <v>0</v>
      </c>
      <c r="S619" s="126">
        <f t="shared" si="184"/>
        <v>120000.25</v>
      </c>
      <c r="T619" s="126">
        <f t="shared" si="183"/>
        <v>70.426814953929224</v>
      </c>
      <c r="U619" s="126">
        <f t="shared" si="182"/>
        <v>70.426814953929224</v>
      </c>
    </row>
    <row r="620" spans="1:21" s="67" customFormat="1" ht="61.5" x14ac:dyDescent="0.9">
      <c r="A620" s="67">
        <v>1</v>
      </c>
      <c r="B620" s="118">
        <f>SUBTOTAL(103,$A$529:A620)</f>
        <v>91</v>
      </c>
      <c r="C620" s="115" t="s">
        <v>632</v>
      </c>
      <c r="D620" s="122" t="s">
        <v>392</v>
      </c>
      <c r="E620" s="127"/>
      <c r="F620" s="127" t="s">
        <v>321</v>
      </c>
      <c r="G620" s="122" t="s">
        <v>363</v>
      </c>
      <c r="H620" s="122">
        <v>3</v>
      </c>
      <c r="I620" s="123">
        <v>2812.6</v>
      </c>
      <c r="J620" s="123">
        <v>1169.5</v>
      </c>
      <c r="K620" s="123">
        <v>1169.5</v>
      </c>
      <c r="L620" s="124">
        <v>91</v>
      </c>
      <c r="M620" s="122" t="s">
        <v>272</v>
      </c>
      <c r="N620" s="122" t="s">
        <v>276</v>
      </c>
      <c r="O620" s="125" t="s">
        <v>1056</v>
      </c>
      <c r="P620" s="126">
        <v>100000</v>
      </c>
      <c r="Q620" s="126">
        <v>0</v>
      </c>
      <c r="R620" s="126">
        <v>0</v>
      </c>
      <c r="S620" s="126">
        <f t="shared" si="184"/>
        <v>100000</v>
      </c>
      <c r="T620" s="126">
        <f t="shared" si="183"/>
        <v>35.554291402972339</v>
      </c>
      <c r="U620" s="126">
        <f t="shared" si="182"/>
        <v>35.554291402972339</v>
      </c>
    </row>
    <row r="621" spans="1:21" s="67" customFormat="1" ht="61.5" x14ac:dyDescent="0.9">
      <c r="A621" s="67">
        <v>1</v>
      </c>
      <c r="B621" s="118">
        <f>SUBTOTAL(103,$A$529:A621)</f>
        <v>92</v>
      </c>
      <c r="C621" s="115" t="s">
        <v>633</v>
      </c>
      <c r="D621" s="122">
        <v>1972</v>
      </c>
      <c r="E621" s="127"/>
      <c r="F621" s="127" t="s">
        <v>274</v>
      </c>
      <c r="G621" s="122">
        <v>9</v>
      </c>
      <c r="H621" s="122">
        <v>1</v>
      </c>
      <c r="I621" s="123">
        <v>1896.4</v>
      </c>
      <c r="J621" s="123">
        <v>1896.4</v>
      </c>
      <c r="K621" s="123">
        <v>1859.1</v>
      </c>
      <c r="L621" s="124">
        <v>135</v>
      </c>
      <c r="M621" s="122" t="s">
        <v>272</v>
      </c>
      <c r="N621" s="122" t="s">
        <v>276</v>
      </c>
      <c r="O621" s="125" t="s">
        <v>359</v>
      </c>
      <c r="P621" s="126">
        <v>100000</v>
      </c>
      <c r="Q621" s="126">
        <v>0</v>
      </c>
      <c r="R621" s="126">
        <v>0</v>
      </c>
      <c r="S621" s="126">
        <f t="shared" si="184"/>
        <v>100000</v>
      </c>
      <c r="T621" s="126">
        <f t="shared" si="183"/>
        <v>52.731491246572453</v>
      </c>
      <c r="U621" s="126">
        <f t="shared" si="182"/>
        <v>52.731491246572453</v>
      </c>
    </row>
    <row r="622" spans="1:21" s="67" customFormat="1" ht="61.5" x14ac:dyDescent="0.9">
      <c r="A622" s="67">
        <v>1</v>
      </c>
      <c r="B622" s="118">
        <f>SUBTOTAL(103,$A$529:A622)</f>
        <v>93</v>
      </c>
      <c r="C622" s="115" t="s">
        <v>634</v>
      </c>
      <c r="D622" s="122" t="s">
        <v>326</v>
      </c>
      <c r="E622" s="127"/>
      <c r="F622" s="127" t="s">
        <v>321</v>
      </c>
      <c r="G622" s="122" t="s">
        <v>363</v>
      </c>
      <c r="H622" s="122">
        <v>4</v>
      </c>
      <c r="I622" s="123">
        <v>3873.3</v>
      </c>
      <c r="J622" s="123">
        <v>3605.48</v>
      </c>
      <c r="K622" s="123">
        <v>3540.2</v>
      </c>
      <c r="L622" s="124">
        <v>165</v>
      </c>
      <c r="M622" s="122" t="s">
        <v>272</v>
      </c>
      <c r="N622" s="122" t="s">
        <v>276</v>
      </c>
      <c r="O622" s="125" t="s">
        <v>1044</v>
      </c>
      <c r="P622" s="126">
        <v>100000</v>
      </c>
      <c r="Q622" s="126">
        <v>0</v>
      </c>
      <c r="R622" s="126">
        <v>0</v>
      </c>
      <c r="S622" s="126">
        <f t="shared" si="184"/>
        <v>100000</v>
      </c>
      <c r="T622" s="126">
        <f t="shared" si="183"/>
        <v>25.817778122014818</v>
      </c>
      <c r="U622" s="126">
        <f t="shared" si="182"/>
        <v>25.817778122014818</v>
      </c>
    </row>
    <row r="623" spans="1:21" s="67" customFormat="1" ht="61.5" x14ac:dyDescent="0.9">
      <c r="A623" s="67">
        <v>1</v>
      </c>
      <c r="B623" s="118">
        <f>SUBTOTAL(103,$A$529:A623)</f>
        <v>94</v>
      </c>
      <c r="C623" s="115" t="s">
        <v>635</v>
      </c>
      <c r="D623" s="122" t="s">
        <v>393</v>
      </c>
      <c r="E623" s="127"/>
      <c r="F623" s="127" t="s">
        <v>321</v>
      </c>
      <c r="G623" s="122" t="s">
        <v>363</v>
      </c>
      <c r="H623" s="122">
        <v>4</v>
      </c>
      <c r="I623" s="123">
        <v>3881.3</v>
      </c>
      <c r="J623" s="123">
        <v>3615.9</v>
      </c>
      <c r="K623" s="123">
        <v>3551.2</v>
      </c>
      <c r="L623" s="124">
        <v>182</v>
      </c>
      <c r="M623" s="122" t="s">
        <v>272</v>
      </c>
      <c r="N623" s="122" t="s">
        <v>276</v>
      </c>
      <c r="O623" s="125" t="s">
        <v>1044</v>
      </c>
      <c r="P623" s="126">
        <v>100000</v>
      </c>
      <c r="Q623" s="126">
        <v>0</v>
      </c>
      <c r="R623" s="126">
        <v>0</v>
      </c>
      <c r="S623" s="126">
        <f t="shared" si="184"/>
        <v>100000</v>
      </c>
      <c r="T623" s="126">
        <f t="shared" si="183"/>
        <v>25.764563419472857</v>
      </c>
      <c r="U623" s="126">
        <f t="shared" si="182"/>
        <v>25.764563419472857</v>
      </c>
    </row>
    <row r="624" spans="1:21" s="67" customFormat="1" ht="61.5" x14ac:dyDescent="0.9">
      <c r="A624" s="67">
        <v>1</v>
      </c>
      <c r="B624" s="118">
        <f>SUBTOTAL(103,$A$529:A624)</f>
        <v>95</v>
      </c>
      <c r="C624" s="115" t="s">
        <v>636</v>
      </c>
      <c r="D624" s="122" t="s">
        <v>362</v>
      </c>
      <c r="E624" s="127"/>
      <c r="F624" s="127" t="s">
        <v>274</v>
      </c>
      <c r="G624" s="122" t="s">
        <v>369</v>
      </c>
      <c r="H624" s="122">
        <v>1</v>
      </c>
      <c r="I624" s="123">
        <v>2154.4</v>
      </c>
      <c r="J624" s="123">
        <v>1835.8</v>
      </c>
      <c r="K624" s="123">
        <v>1783.4</v>
      </c>
      <c r="L624" s="124">
        <v>76</v>
      </c>
      <c r="M624" s="122" t="s">
        <v>272</v>
      </c>
      <c r="N624" s="122" t="s">
        <v>276</v>
      </c>
      <c r="O624" s="125" t="s">
        <v>856</v>
      </c>
      <c r="P624" s="126">
        <v>100000</v>
      </c>
      <c r="Q624" s="126">
        <v>0</v>
      </c>
      <c r="R624" s="126">
        <v>0</v>
      </c>
      <c r="S624" s="126">
        <f t="shared" si="184"/>
        <v>100000</v>
      </c>
      <c r="T624" s="126">
        <f t="shared" si="183"/>
        <v>46.416635722242852</v>
      </c>
      <c r="U624" s="126">
        <f t="shared" si="182"/>
        <v>46.416635722242852</v>
      </c>
    </row>
    <row r="625" spans="1:21" s="67" customFormat="1" ht="61.5" x14ac:dyDescent="0.9">
      <c r="A625" s="67">
        <v>1</v>
      </c>
      <c r="B625" s="118">
        <f>SUBTOTAL(103,$A$529:A625)</f>
        <v>96</v>
      </c>
      <c r="C625" s="115" t="s">
        <v>637</v>
      </c>
      <c r="D625" s="122" t="s">
        <v>394</v>
      </c>
      <c r="E625" s="127"/>
      <c r="F625" s="127" t="s">
        <v>321</v>
      </c>
      <c r="G625" s="122" t="s">
        <v>363</v>
      </c>
      <c r="H625" s="122">
        <v>4</v>
      </c>
      <c r="I625" s="123">
        <v>3888.9</v>
      </c>
      <c r="J625" s="123">
        <v>3557.1</v>
      </c>
      <c r="K625" s="123">
        <v>3511.4</v>
      </c>
      <c r="L625" s="124">
        <v>169</v>
      </c>
      <c r="M625" s="122" t="s">
        <v>272</v>
      </c>
      <c r="N625" s="122" t="s">
        <v>276</v>
      </c>
      <c r="O625" s="125" t="s">
        <v>1044</v>
      </c>
      <c r="P625" s="126">
        <v>100000</v>
      </c>
      <c r="Q625" s="126">
        <v>0</v>
      </c>
      <c r="R625" s="126">
        <v>0</v>
      </c>
      <c r="S625" s="126">
        <f t="shared" si="184"/>
        <v>100000</v>
      </c>
      <c r="T625" s="126">
        <f t="shared" si="183"/>
        <v>25.71421224510787</v>
      </c>
      <c r="U625" s="126">
        <f t="shared" si="182"/>
        <v>25.71421224510787</v>
      </c>
    </row>
    <row r="626" spans="1:21" s="67" customFormat="1" ht="61.5" x14ac:dyDescent="0.9">
      <c r="A626" s="67">
        <v>1</v>
      </c>
      <c r="B626" s="118">
        <f>SUBTOTAL(103,$A$529:A626)</f>
        <v>97</v>
      </c>
      <c r="C626" s="115" t="s">
        <v>638</v>
      </c>
      <c r="D626" s="122" t="s">
        <v>394</v>
      </c>
      <c r="E626" s="127"/>
      <c r="F626" s="127" t="s">
        <v>321</v>
      </c>
      <c r="G626" s="122" t="s">
        <v>363</v>
      </c>
      <c r="H626" s="122">
        <v>4</v>
      </c>
      <c r="I626" s="123">
        <v>3854.3</v>
      </c>
      <c r="J626" s="123">
        <v>3599.34</v>
      </c>
      <c r="K626" s="123">
        <v>3550.2</v>
      </c>
      <c r="L626" s="124">
        <v>173</v>
      </c>
      <c r="M626" s="122" t="s">
        <v>272</v>
      </c>
      <c r="N626" s="122" t="s">
        <v>276</v>
      </c>
      <c r="O626" s="125" t="s">
        <v>1044</v>
      </c>
      <c r="P626" s="126">
        <v>100000</v>
      </c>
      <c r="Q626" s="126">
        <v>0</v>
      </c>
      <c r="R626" s="126">
        <v>0</v>
      </c>
      <c r="S626" s="126">
        <f t="shared" si="184"/>
        <v>100000</v>
      </c>
      <c r="T626" s="126">
        <f t="shared" si="183"/>
        <v>25.945048387515243</v>
      </c>
      <c r="U626" s="126">
        <f t="shared" si="182"/>
        <v>25.945048387515243</v>
      </c>
    </row>
    <row r="627" spans="1:21" s="67" customFormat="1" ht="61.5" x14ac:dyDescent="0.9">
      <c r="A627" s="67">
        <v>1</v>
      </c>
      <c r="B627" s="118">
        <f>SUBTOTAL(103,$A$529:A627)</f>
        <v>98</v>
      </c>
      <c r="C627" s="115" t="s">
        <v>639</v>
      </c>
      <c r="D627" s="122" t="s">
        <v>388</v>
      </c>
      <c r="E627" s="127"/>
      <c r="F627" s="127" t="s">
        <v>274</v>
      </c>
      <c r="G627" s="122" t="s">
        <v>363</v>
      </c>
      <c r="H627" s="122">
        <v>3</v>
      </c>
      <c r="I627" s="123">
        <v>2600.9</v>
      </c>
      <c r="J627" s="123">
        <v>2217.3000000000002</v>
      </c>
      <c r="K627" s="123">
        <v>2217.3000000000002</v>
      </c>
      <c r="L627" s="124">
        <v>72</v>
      </c>
      <c r="M627" s="122" t="s">
        <v>272</v>
      </c>
      <c r="N627" s="122" t="s">
        <v>276</v>
      </c>
      <c r="O627" s="125" t="s">
        <v>1048</v>
      </c>
      <c r="P627" s="126">
        <v>100000</v>
      </c>
      <c r="Q627" s="126">
        <v>0</v>
      </c>
      <c r="R627" s="126">
        <v>0</v>
      </c>
      <c r="S627" s="126">
        <f t="shared" si="184"/>
        <v>100000</v>
      </c>
      <c r="T627" s="126">
        <f t="shared" si="183"/>
        <v>38.448229459033413</v>
      </c>
      <c r="U627" s="126">
        <f t="shared" si="182"/>
        <v>38.448229459033413</v>
      </c>
    </row>
    <row r="628" spans="1:21" s="67" customFormat="1" ht="61.5" x14ac:dyDescent="0.9">
      <c r="A628" s="67">
        <v>1</v>
      </c>
      <c r="B628" s="118">
        <f>SUBTOTAL(103,$A$529:A628)</f>
        <v>99</v>
      </c>
      <c r="C628" s="115" t="s">
        <v>640</v>
      </c>
      <c r="D628" s="122" t="s">
        <v>383</v>
      </c>
      <c r="E628" s="127"/>
      <c r="F628" s="127" t="s">
        <v>274</v>
      </c>
      <c r="G628" s="122" t="s">
        <v>363</v>
      </c>
      <c r="H628" s="122">
        <v>1</v>
      </c>
      <c r="I628" s="123">
        <v>1129.8</v>
      </c>
      <c r="J628" s="123">
        <v>1033.3</v>
      </c>
      <c r="K628" s="123">
        <v>841.7</v>
      </c>
      <c r="L628" s="124">
        <v>41</v>
      </c>
      <c r="M628" s="122" t="s">
        <v>272</v>
      </c>
      <c r="N628" s="122" t="s">
        <v>276</v>
      </c>
      <c r="O628" s="125" t="s">
        <v>360</v>
      </c>
      <c r="P628" s="126">
        <v>70000</v>
      </c>
      <c r="Q628" s="126">
        <v>0</v>
      </c>
      <c r="R628" s="126">
        <v>0</v>
      </c>
      <c r="S628" s="126">
        <f t="shared" si="184"/>
        <v>70000</v>
      </c>
      <c r="T628" s="126">
        <f t="shared" si="183"/>
        <v>61.957868649318463</v>
      </c>
      <c r="U628" s="126">
        <f t="shared" si="182"/>
        <v>61.957868649318463</v>
      </c>
    </row>
    <row r="629" spans="1:21" s="67" customFormat="1" ht="61.5" x14ac:dyDescent="0.9">
      <c r="A629" s="67">
        <v>1</v>
      </c>
      <c r="B629" s="118">
        <f>SUBTOTAL(103,$A$529:A629)</f>
        <v>100</v>
      </c>
      <c r="C629" s="115" t="s">
        <v>641</v>
      </c>
      <c r="D629" s="122" t="s">
        <v>319</v>
      </c>
      <c r="E629" s="127"/>
      <c r="F629" s="127" t="s">
        <v>321</v>
      </c>
      <c r="G629" s="122" t="s">
        <v>363</v>
      </c>
      <c r="H629" s="122">
        <v>4</v>
      </c>
      <c r="I629" s="123">
        <v>4027.5</v>
      </c>
      <c r="J629" s="123">
        <v>3035.5</v>
      </c>
      <c r="K629" s="123">
        <v>3037.2</v>
      </c>
      <c r="L629" s="124">
        <v>135</v>
      </c>
      <c r="M629" s="122" t="s">
        <v>272</v>
      </c>
      <c r="N629" s="122" t="s">
        <v>276</v>
      </c>
      <c r="O629" s="125" t="s">
        <v>1045</v>
      </c>
      <c r="P629" s="126">
        <v>100000</v>
      </c>
      <c r="Q629" s="126">
        <v>0</v>
      </c>
      <c r="R629" s="126">
        <v>0</v>
      </c>
      <c r="S629" s="126">
        <f t="shared" si="184"/>
        <v>100000</v>
      </c>
      <c r="T629" s="126">
        <f t="shared" si="183"/>
        <v>24.829298572315331</v>
      </c>
      <c r="U629" s="126">
        <f t="shared" si="182"/>
        <v>24.829298572315331</v>
      </c>
    </row>
    <row r="630" spans="1:21" s="67" customFormat="1" ht="61.5" x14ac:dyDescent="0.9">
      <c r="A630" s="67">
        <v>1</v>
      </c>
      <c r="B630" s="118">
        <f>SUBTOTAL(103,$A$529:A630)</f>
        <v>101</v>
      </c>
      <c r="C630" s="115" t="s">
        <v>642</v>
      </c>
      <c r="D630" s="122" t="s">
        <v>319</v>
      </c>
      <c r="E630" s="127"/>
      <c r="F630" s="127" t="s">
        <v>321</v>
      </c>
      <c r="G630" s="122" t="s">
        <v>363</v>
      </c>
      <c r="H630" s="122">
        <v>4</v>
      </c>
      <c r="I630" s="123">
        <v>4003.9</v>
      </c>
      <c r="J630" s="123">
        <v>3006.9</v>
      </c>
      <c r="K630" s="123">
        <v>2831.8</v>
      </c>
      <c r="L630" s="124">
        <v>130</v>
      </c>
      <c r="M630" s="122" t="s">
        <v>272</v>
      </c>
      <c r="N630" s="122" t="s">
        <v>276</v>
      </c>
      <c r="O630" s="125" t="s">
        <v>1045</v>
      </c>
      <c r="P630" s="126">
        <v>100000</v>
      </c>
      <c r="Q630" s="126">
        <v>0</v>
      </c>
      <c r="R630" s="126">
        <v>0</v>
      </c>
      <c r="S630" s="126">
        <f t="shared" si="184"/>
        <v>100000</v>
      </c>
      <c r="T630" s="126">
        <f t="shared" si="183"/>
        <v>24.975648742476086</v>
      </c>
      <c r="U630" s="126">
        <f t="shared" si="182"/>
        <v>24.975648742476086</v>
      </c>
    </row>
    <row r="631" spans="1:21" s="67" customFormat="1" ht="61.5" x14ac:dyDescent="0.9">
      <c r="A631" s="67">
        <v>1</v>
      </c>
      <c r="B631" s="118">
        <f>SUBTOTAL(103,$A$529:A631)</f>
        <v>102</v>
      </c>
      <c r="C631" s="115" t="s">
        <v>643</v>
      </c>
      <c r="D631" s="122" t="s">
        <v>323</v>
      </c>
      <c r="E631" s="127"/>
      <c r="F631" s="127" t="s">
        <v>321</v>
      </c>
      <c r="G631" s="122" t="s">
        <v>369</v>
      </c>
      <c r="H631" s="122">
        <v>2</v>
      </c>
      <c r="I631" s="123">
        <v>4844.7</v>
      </c>
      <c r="J631" s="123">
        <v>3843.1</v>
      </c>
      <c r="K631" s="123">
        <v>3763.6</v>
      </c>
      <c r="L631" s="124">
        <v>150</v>
      </c>
      <c r="M631" s="122" t="s">
        <v>272</v>
      </c>
      <c r="N631" s="122" t="s">
        <v>276</v>
      </c>
      <c r="O631" s="125" t="s">
        <v>1045</v>
      </c>
      <c r="P631" s="126">
        <v>100000</v>
      </c>
      <c r="Q631" s="126">
        <v>0</v>
      </c>
      <c r="R631" s="126">
        <v>0</v>
      </c>
      <c r="S631" s="126">
        <f t="shared" si="184"/>
        <v>100000</v>
      </c>
      <c r="T631" s="126">
        <f t="shared" si="183"/>
        <v>20.641112968811278</v>
      </c>
      <c r="U631" s="126">
        <f t="shared" si="182"/>
        <v>20.641112968811278</v>
      </c>
    </row>
    <row r="632" spans="1:21" s="67" customFormat="1" ht="61.5" x14ac:dyDescent="0.9">
      <c r="A632" s="67">
        <v>1</v>
      </c>
      <c r="B632" s="118">
        <f>SUBTOTAL(103,$A$529:A632)</f>
        <v>103</v>
      </c>
      <c r="C632" s="115" t="s">
        <v>1489</v>
      </c>
      <c r="D632" s="122">
        <v>1976</v>
      </c>
      <c r="E632" s="127"/>
      <c r="F632" s="127" t="s">
        <v>274</v>
      </c>
      <c r="G632" s="122">
        <v>5</v>
      </c>
      <c r="H632" s="122">
        <v>10</v>
      </c>
      <c r="I632" s="123">
        <v>8213.9</v>
      </c>
      <c r="J632" s="123">
        <v>7350.9</v>
      </c>
      <c r="K632" s="123">
        <v>6661.1</v>
      </c>
      <c r="L632" s="124">
        <v>418</v>
      </c>
      <c r="M632" s="122" t="s">
        <v>272</v>
      </c>
      <c r="N632" s="122" t="s">
        <v>276</v>
      </c>
      <c r="O632" s="125" t="s">
        <v>1507</v>
      </c>
      <c r="P632" s="126">
        <v>163844.70000000001</v>
      </c>
      <c r="Q632" s="126">
        <v>0</v>
      </c>
      <c r="R632" s="126">
        <v>0</v>
      </c>
      <c r="S632" s="126">
        <f t="shared" si="184"/>
        <v>163844.70000000001</v>
      </c>
      <c r="T632" s="126">
        <f t="shared" si="183"/>
        <v>19.947247957730191</v>
      </c>
      <c r="U632" s="126">
        <f t="shared" si="182"/>
        <v>19.947247957730191</v>
      </c>
    </row>
    <row r="633" spans="1:21" s="67" customFormat="1" ht="61.5" x14ac:dyDescent="0.9">
      <c r="A633" s="67">
        <v>1</v>
      </c>
      <c r="B633" s="118">
        <f>SUBTOTAL(103,$A$529:A633)</f>
        <v>104</v>
      </c>
      <c r="C633" s="115" t="s">
        <v>644</v>
      </c>
      <c r="D633" s="122" t="s">
        <v>339</v>
      </c>
      <c r="E633" s="127"/>
      <c r="F633" s="127" t="s">
        <v>274</v>
      </c>
      <c r="G633" s="122" t="s">
        <v>378</v>
      </c>
      <c r="H633" s="122">
        <v>3</v>
      </c>
      <c r="I633" s="123">
        <v>3521.2</v>
      </c>
      <c r="J633" s="123">
        <v>3000</v>
      </c>
      <c r="K633" s="123">
        <v>2890.8</v>
      </c>
      <c r="L633" s="124">
        <v>100</v>
      </c>
      <c r="M633" s="122" t="s">
        <v>272</v>
      </c>
      <c r="N633" s="122" t="s">
        <v>305</v>
      </c>
      <c r="O633" s="125" t="s">
        <v>395</v>
      </c>
      <c r="P633" s="126">
        <v>150000</v>
      </c>
      <c r="Q633" s="126">
        <v>0</v>
      </c>
      <c r="R633" s="126">
        <v>0</v>
      </c>
      <c r="S633" s="126">
        <f t="shared" si="184"/>
        <v>150000</v>
      </c>
      <c r="T633" s="126">
        <f t="shared" si="183"/>
        <v>42.599113938430079</v>
      </c>
      <c r="U633" s="126">
        <f t="shared" si="182"/>
        <v>42.599113938430079</v>
      </c>
    </row>
    <row r="634" spans="1:21" s="67" customFormat="1" ht="61.5" x14ac:dyDescent="0.9">
      <c r="A634" s="67">
        <v>1</v>
      </c>
      <c r="B634" s="118">
        <f>SUBTOTAL(103,$A$529:A634)</f>
        <v>105</v>
      </c>
      <c r="C634" s="115" t="s">
        <v>645</v>
      </c>
      <c r="D634" s="122" t="s">
        <v>333</v>
      </c>
      <c r="E634" s="127"/>
      <c r="F634" s="127" t="s">
        <v>321</v>
      </c>
      <c r="G634" s="122" t="s">
        <v>363</v>
      </c>
      <c r="H634" s="122">
        <v>4</v>
      </c>
      <c r="I634" s="123">
        <v>4258.1000000000004</v>
      </c>
      <c r="J634" s="123">
        <v>3136.3</v>
      </c>
      <c r="K634" s="123">
        <v>1795.5</v>
      </c>
      <c r="L634" s="124">
        <v>159</v>
      </c>
      <c r="M634" s="122" t="s">
        <v>272</v>
      </c>
      <c r="N634" s="122" t="s">
        <v>276</v>
      </c>
      <c r="O634" s="125" t="s">
        <v>1070</v>
      </c>
      <c r="P634" s="126">
        <v>100000</v>
      </c>
      <c r="Q634" s="126">
        <v>0</v>
      </c>
      <c r="R634" s="126">
        <v>0</v>
      </c>
      <c r="S634" s="126">
        <f t="shared" si="184"/>
        <v>100000</v>
      </c>
      <c r="T634" s="126">
        <f t="shared" si="183"/>
        <v>23.484652779408655</v>
      </c>
      <c r="U634" s="126">
        <f t="shared" si="182"/>
        <v>23.484652779408655</v>
      </c>
    </row>
    <row r="635" spans="1:21" s="67" customFormat="1" ht="61.5" x14ac:dyDescent="0.9">
      <c r="A635" s="67">
        <v>1</v>
      </c>
      <c r="B635" s="118">
        <f>SUBTOTAL(103,$A$529:A635)</f>
        <v>106</v>
      </c>
      <c r="C635" s="115" t="s">
        <v>646</v>
      </c>
      <c r="D635" s="122" t="s">
        <v>396</v>
      </c>
      <c r="E635" s="127"/>
      <c r="F635" s="127" t="s">
        <v>321</v>
      </c>
      <c r="G635" s="122" t="s">
        <v>363</v>
      </c>
      <c r="H635" s="122">
        <v>5</v>
      </c>
      <c r="I635" s="123">
        <v>7097.9</v>
      </c>
      <c r="J635" s="123">
        <v>6283.6</v>
      </c>
      <c r="K635" s="123">
        <v>3449.7</v>
      </c>
      <c r="L635" s="124">
        <v>347</v>
      </c>
      <c r="M635" s="122" t="s">
        <v>272</v>
      </c>
      <c r="N635" s="122" t="s">
        <v>276</v>
      </c>
      <c r="O635" s="125" t="s">
        <v>1071</v>
      </c>
      <c r="P635" s="126">
        <v>100000</v>
      </c>
      <c r="Q635" s="126">
        <v>0</v>
      </c>
      <c r="R635" s="126">
        <v>0</v>
      </c>
      <c r="S635" s="126">
        <f t="shared" si="184"/>
        <v>100000</v>
      </c>
      <c r="T635" s="126">
        <f t="shared" si="183"/>
        <v>14.08867411487905</v>
      </c>
      <c r="U635" s="126">
        <f t="shared" si="182"/>
        <v>14.08867411487905</v>
      </c>
    </row>
    <row r="636" spans="1:21" s="67" customFormat="1" ht="61.5" x14ac:dyDescent="0.9">
      <c r="A636" s="67">
        <v>1</v>
      </c>
      <c r="B636" s="118">
        <f>SUBTOTAL(103,$A$529:A636)</f>
        <v>107</v>
      </c>
      <c r="C636" s="115" t="s">
        <v>647</v>
      </c>
      <c r="D636" s="122">
        <v>1981</v>
      </c>
      <c r="E636" s="127"/>
      <c r="F636" s="127" t="s">
        <v>274</v>
      </c>
      <c r="G636" s="122">
        <v>2</v>
      </c>
      <c r="H636" s="122">
        <v>3</v>
      </c>
      <c r="I636" s="123">
        <v>940.2</v>
      </c>
      <c r="J636" s="123">
        <v>850.3</v>
      </c>
      <c r="K636" s="123">
        <v>850.3</v>
      </c>
      <c r="L636" s="124">
        <v>29</v>
      </c>
      <c r="M636" s="122" t="s">
        <v>272</v>
      </c>
      <c r="N636" s="122" t="s">
        <v>276</v>
      </c>
      <c r="O636" s="125" t="s">
        <v>1159</v>
      </c>
      <c r="P636" s="126">
        <v>100000</v>
      </c>
      <c r="Q636" s="126">
        <v>0</v>
      </c>
      <c r="R636" s="126">
        <v>0</v>
      </c>
      <c r="S636" s="126">
        <f t="shared" si="184"/>
        <v>100000</v>
      </c>
      <c r="T636" s="126">
        <f t="shared" si="183"/>
        <v>106.36034886194426</v>
      </c>
      <c r="U636" s="126">
        <f t="shared" si="182"/>
        <v>106.36034886194426</v>
      </c>
    </row>
    <row r="637" spans="1:21" s="67" customFormat="1" ht="61.5" x14ac:dyDescent="0.9">
      <c r="A637" s="67">
        <v>1</v>
      </c>
      <c r="B637" s="118">
        <f>SUBTOTAL(103,$A$529:A637)</f>
        <v>108</v>
      </c>
      <c r="C637" s="115" t="s">
        <v>648</v>
      </c>
      <c r="D637" s="122">
        <v>1994</v>
      </c>
      <c r="E637" s="127"/>
      <c r="F637" s="127" t="s">
        <v>274</v>
      </c>
      <c r="G637" s="122">
        <v>3</v>
      </c>
      <c r="H637" s="122">
        <v>2</v>
      </c>
      <c r="I637" s="123">
        <v>1489.9</v>
      </c>
      <c r="J637" s="123">
        <v>1353.2</v>
      </c>
      <c r="K637" s="123">
        <v>1353.2</v>
      </c>
      <c r="L637" s="124">
        <v>72</v>
      </c>
      <c r="M637" s="122" t="s">
        <v>272</v>
      </c>
      <c r="N637" s="122" t="s">
        <v>276</v>
      </c>
      <c r="O637" s="125" t="s">
        <v>1159</v>
      </c>
      <c r="P637" s="126">
        <v>100000</v>
      </c>
      <c r="Q637" s="126">
        <v>0</v>
      </c>
      <c r="R637" s="126">
        <v>0</v>
      </c>
      <c r="S637" s="126">
        <f t="shared" si="184"/>
        <v>100000</v>
      </c>
      <c r="T637" s="126">
        <f t="shared" si="183"/>
        <v>67.11859856366199</v>
      </c>
      <c r="U637" s="126">
        <f t="shared" si="182"/>
        <v>67.11859856366199</v>
      </c>
    </row>
    <row r="638" spans="1:21" s="67" customFormat="1" ht="61.5" x14ac:dyDescent="0.9">
      <c r="A638" s="67">
        <v>1</v>
      </c>
      <c r="B638" s="118">
        <f>SUBTOTAL(103,$A$529:A638)</f>
        <v>109</v>
      </c>
      <c r="C638" s="115" t="s">
        <v>649</v>
      </c>
      <c r="D638" s="122" t="s">
        <v>362</v>
      </c>
      <c r="E638" s="127"/>
      <c r="F638" s="127" t="s">
        <v>321</v>
      </c>
      <c r="G638" s="122" t="s">
        <v>363</v>
      </c>
      <c r="H638" s="122">
        <v>4</v>
      </c>
      <c r="I638" s="123">
        <v>4064.4</v>
      </c>
      <c r="J638" s="123">
        <v>3058.6</v>
      </c>
      <c r="K638" s="123">
        <v>2912</v>
      </c>
      <c r="L638" s="124">
        <v>130</v>
      </c>
      <c r="M638" s="122" t="s">
        <v>272</v>
      </c>
      <c r="N638" s="122" t="s">
        <v>276</v>
      </c>
      <c r="O638" s="125" t="s">
        <v>1045</v>
      </c>
      <c r="P638" s="126">
        <v>100000</v>
      </c>
      <c r="Q638" s="126">
        <v>0</v>
      </c>
      <c r="R638" s="126">
        <v>0</v>
      </c>
      <c r="S638" s="126">
        <f t="shared" si="184"/>
        <v>100000</v>
      </c>
      <c r="T638" s="126">
        <f t="shared" si="183"/>
        <v>24.603877571105205</v>
      </c>
      <c r="U638" s="126">
        <f t="shared" si="182"/>
        <v>24.603877571105205</v>
      </c>
    </row>
    <row r="639" spans="1:21" s="67" customFormat="1" ht="61.5" x14ac:dyDescent="0.9">
      <c r="A639" s="67">
        <v>1</v>
      </c>
      <c r="B639" s="118">
        <f>SUBTOTAL(103,$A$529:A639)</f>
        <v>110</v>
      </c>
      <c r="C639" s="115" t="s">
        <v>650</v>
      </c>
      <c r="D639" s="122" t="s">
        <v>384</v>
      </c>
      <c r="E639" s="127"/>
      <c r="F639" s="127" t="s">
        <v>321</v>
      </c>
      <c r="G639" s="122" t="s">
        <v>363</v>
      </c>
      <c r="H639" s="122">
        <v>5</v>
      </c>
      <c r="I639" s="123">
        <v>5067.1000000000004</v>
      </c>
      <c r="J639" s="123">
        <v>3815.6</v>
      </c>
      <c r="K639" s="123">
        <v>3768.9</v>
      </c>
      <c r="L639" s="124">
        <v>158</v>
      </c>
      <c r="M639" s="122" t="s">
        <v>272</v>
      </c>
      <c r="N639" s="122" t="s">
        <v>276</v>
      </c>
      <c r="O639" s="125" t="s">
        <v>1045</v>
      </c>
      <c r="P639" s="126">
        <v>100000</v>
      </c>
      <c r="Q639" s="126">
        <v>0</v>
      </c>
      <c r="R639" s="126">
        <v>0</v>
      </c>
      <c r="S639" s="126">
        <f t="shared" si="184"/>
        <v>100000</v>
      </c>
      <c r="T639" s="126">
        <f t="shared" si="183"/>
        <v>19.735154230230307</v>
      </c>
      <c r="U639" s="126">
        <f t="shared" si="182"/>
        <v>19.735154230230307</v>
      </c>
    </row>
    <row r="640" spans="1:21" s="67" customFormat="1" ht="61.5" x14ac:dyDescent="0.9">
      <c r="A640" s="67">
        <v>1</v>
      </c>
      <c r="B640" s="118">
        <f>SUBTOTAL(103,$A$529:A640)</f>
        <v>111</v>
      </c>
      <c r="C640" s="115" t="s">
        <v>518</v>
      </c>
      <c r="D640" s="122">
        <v>1995</v>
      </c>
      <c r="E640" s="127"/>
      <c r="F640" s="127" t="s">
        <v>274</v>
      </c>
      <c r="G640" s="122">
        <v>9</v>
      </c>
      <c r="H640" s="122">
        <v>1</v>
      </c>
      <c r="I640" s="123">
        <v>6176.6</v>
      </c>
      <c r="J640" s="123">
        <v>4705.1000000000004</v>
      </c>
      <c r="K640" s="123">
        <v>4212.5</v>
      </c>
      <c r="L640" s="124">
        <v>299</v>
      </c>
      <c r="M640" s="122" t="s">
        <v>272</v>
      </c>
      <c r="N640" s="122" t="s">
        <v>276</v>
      </c>
      <c r="O640" s="125" t="s">
        <v>1044</v>
      </c>
      <c r="P640" s="126">
        <v>80000</v>
      </c>
      <c r="Q640" s="126">
        <v>0</v>
      </c>
      <c r="R640" s="126">
        <v>0</v>
      </c>
      <c r="S640" s="126">
        <f t="shared" si="184"/>
        <v>80000</v>
      </c>
      <c r="T640" s="126">
        <f t="shared" si="183"/>
        <v>12.952109574847002</v>
      </c>
      <c r="U640" s="126">
        <f t="shared" si="182"/>
        <v>12.952109574847002</v>
      </c>
    </row>
    <row r="641" spans="1:21" s="67" customFormat="1" ht="61.5" x14ac:dyDescent="0.9">
      <c r="A641" s="67">
        <v>1</v>
      </c>
      <c r="B641" s="118">
        <f>SUBTOTAL(103,$A$529:A641)</f>
        <v>112</v>
      </c>
      <c r="C641" s="115" t="s">
        <v>1144</v>
      </c>
      <c r="D641" s="122">
        <v>1990</v>
      </c>
      <c r="E641" s="127"/>
      <c r="F641" s="127" t="s">
        <v>274</v>
      </c>
      <c r="G641" s="122">
        <v>9</v>
      </c>
      <c r="H641" s="122">
        <v>4</v>
      </c>
      <c r="I641" s="123">
        <v>11085.8</v>
      </c>
      <c r="J641" s="123">
        <v>9319.2999999999993</v>
      </c>
      <c r="K641" s="123">
        <v>5667.8</v>
      </c>
      <c r="L641" s="124">
        <v>446</v>
      </c>
      <c r="M641" s="122" t="s">
        <v>272</v>
      </c>
      <c r="N641" s="122" t="s">
        <v>276</v>
      </c>
      <c r="O641" s="125" t="s">
        <v>1151</v>
      </c>
      <c r="P641" s="126">
        <v>100000</v>
      </c>
      <c r="Q641" s="126">
        <v>0</v>
      </c>
      <c r="R641" s="126">
        <v>0</v>
      </c>
      <c r="S641" s="126">
        <f t="shared" si="184"/>
        <v>100000</v>
      </c>
      <c r="T641" s="126">
        <f t="shared" si="183"/>
        <v>9.020548810189613</v>
      </c>
      <c r="U641" s="126">
        <f t="shared" si="182"/>
        <v>9.020548810189613</v>
      </c>
    </row>
    <row r="642" spans="1:21" s="67" customFormat="1" ht="61.5" x14ac:dyDescent="0.9">
      <c r="B642" s="115" t="s">
        <v>806</v>
      </c>
      <c r="C642" s="119"/>
      <c r="D642" s="122" t="s">
        <v>943</v>
      </c>
      <c r="E642" s="122" t="s">
        <v>943</v>
      </c>
      <c r="F642" s="122" t="s">
        <v>943</v>
      </c>
      <c r="G642" s="122" t="s">
        <v>943</v>
      </c>
      <c r="H642" s="122" t="s">
        <v>943</v>
      </c>
      <c r="I642" s="123">
        <f>SUM(I643:I654)</f>
        <v>19752.900000000001</v>
      </c>
      <c r="J642" s="123">
        <f t="shared" ref="J642:L642" si="185">SUM(J643:J654)</f>
        <v>18323.599999999999</v>
      </c>
      <c r="K642" s="123">
        <f t="shared" si="185"/>
        <v>14973.099999999999</v>
      </c>
      <c r="L642" s="124">
        <f t="shared" si="185"/>
        <v>832</v>
      </c>
      <c r="M642" s="122" t="s">
        <v>943</v>
      </c>
      <c r="N642" s="122" t="s">
        <v>943</v>
      </c>
      <c r="O642" s="125" t="s">
        <v>943</v>
      </c>
      <c r="P642" s="123">
        <v>45254826.330000006</v>
      </c>
      <c r="Q642" s="123">
        <f t="shared" ref="Q642:S642" si="186">SUM(Q643:Q654)</f>
        <v>0</v>
      </c>
      <c r="R642" s="123">
        <f t="shared" si="186"/>
        <v>0</v>
      </c>
      <c r="S642" s="123">
        <f t="shared" si="186"/>
        <v>45254826.330000006</v>
      </c>
      <c r="T642" s="126">
        <f t="shared" si="183"/>
        <v>2291.0472047142448</v>
      </c>
      <c r="U642" s="126">
        <f>MAX(U643:U654)</f>
        <v>7898.0806600153492</v>
      </c>
    </row>
    <row r="643" spans="1:21" s="67" customFormat="1" ht="61.5" x14ac:dyDescent="0.9">
      <c r="A643" s="67">
        <v>1</v>
      </c>
      <c r="B643" s="118">
        <f>SUBTOTAL(103,$A$529:A643)</f>
        <v>113</v>
      </c>
      <c r="C643" s="115" t="s">
        <v>475</v>
      </c>
      <c r="D643" s="122">
        <v>1992</v>
      </c>
      <c r="E643" s="127">
        <v>2010</v>
      </c>
      <c r="F643" s="127" t="s">
        <v>321</v>
      </c>
      <c r="G643" s="122">
        <v>5</v>
      </c>
      <c r="H643" s="122">
        <v>3</v>
      </c>
      <c r="I643" s="123">
        <v>3155.4</v>
      </c>
      <c r="J643" s="123">
        <v>3036.1</v>
      </c>
      <c r="K643" s="123">
        <v>1317.1</v>
      </c>
      <c r="L643" s="124">
        <v>153</v>
      </c>
      <c r="M643" s="122" t="s">
        <v>272</v>
      </c>
      <c r="N643" s="122" t="s">
        <v>305</v>
      </c>
      <c r="O643" s="125" t="s">
        <v>352</v>
      </c>
      <c r="P643" s="126">
        <v>4823597.0600000005</v>
      </c>
      <c r="Q643" s="126">
        <v>0</v>
      </c>
      <c r="R643" s="126">
        <v>0</v>
      </c>
      <c r="S643" s="126">
        <f t="shared" ref="S643:S654" si="187">P643-Q643-R643</f>
        <v>4823597.0600000005</v>
      </c>
      <c r="T643" s="126">
        <f t="shared" si="183"/>
        <v>1528.680059580402</v>
      </c>
      <c r="U643" s="126">
        <v>1629.7174177600302</v>
      </c>
    </row>
    <row r="644" spans="1:21" s="67" customFormat="1" ht="61.5" x14ac:dyDescent="0.9">
      <c r="A644" s="67">
        <v>1</v>
      </c>
      <c r="B644" s="118">
        <f>SUBTOTAL(103,$A$529:A644)</f>
        <v>114</v>
      </c>
      <c r="C644" s="115" t="s">
        <v>476</v>
      </c>
      <c r="D644" s="122">
        <v>1960</v>
      </c>
      <c r="E644" s="127"/>
      <c r="F644" s="127" t="s">
        <v>274</v>
      </c>
      <c r="G644" s="122">
        <v>2</v>
      </c>
      <c r="H644" s="122">
        <v>2</v>
      </c>
      <c r="I644" s="123">
        <v>683.2</v>
      </c>
      <c r="J644" s="123">
        <v>634.6</v>
      </c>
      <c r="K644" s="123">
        <v>388.3</v>
      </c>
      <c r="L644" s="124">
        <v>26</v>
      </c>
      <c r="M644" s="122" t="s">
        <v>272</v>
      </c>
      <c r="N644" s="122" t="s">
        <v>273</v>
      </c>
      <c r="O644" s="125" t="s">
        <v>275</v>
      </c>
      <c r="P644" s="126">
        <v>3616357.54</v>
      </c>
      <c r="Q644" s="126">
        <v>0</v>
      </c>
      <c r="R644" s="126">
        <v>0</v>
      </c>
      <c r="S644" s="126">
        <f t="shared" si="187"/>
        <v>3616357.54</v>
      </c>
      <c r="T644" s="126">
        <f t="shared" si="183"/>
        <v>5293.2633782201401</v>
      </c>
      <c r="U644" s="126">
        <v>6133.1778586065566</v>
      </c>
    </row>
    <row r="645" spans="1:21" s="67" customFormat="1" ht="63" x14ac:dyDescent="0.9">
      <c r="A645" s="67">
        <v>1</v>
      </c>
      <c r="B645" s="118">
        <f>SUBTOTAL(103,$A$529:A645)</f>
        <v>115</v>
      </c>
      <c r="C645" s="115" t="s">
        <v>477</v>
      </c>
      <c r="D645" s="122">
        <v>1952</v>
      </c>
      <c r="E645" s="127">
        <v>2008</v>
      </c>
      <c r="F645" s="127" t="s">
        <v>274</v>
      </c>
      <c r="G645" s="122">
        <v>2</v>
      </c>
      <c r="H645" s="122">
        <v>1</v>
      </c>
      <c r="I645" s="123">
        <v>427.8</v>
      </c>
      <c r="J645" s="123">
        <v>392.1</v>
      </c>
      <c r="K645" s="123">
        <v>345.2</v>
      </c>
      <c r="L645" s="124">
        <v>21</v>
      </c>
      <c r="M645" s="122" t="s">
        <v>272</v>
      </c>
      <c r="N645" s="122" t="s">
        <v>276</v>
      </c>
      <c r="O645" s="125" t="s">
        <v>350</v>
      </c>
      <c r="P645" s="126">
        <v>1638422.64</v>
      </c>
      <c r="Q645" s="126">
        <v>0</v>
      </c>
      <c r="R645" s="126">
        <v>0</v>
      </c>
      <c r="S645" s="126">
        <f t="shared" si="187"/>
        <v>1638422.64</v>
      </c>
      <c r="T645" s="126">
        <f t="shared" si="183"/>
        <v>3829.8799438990177</v>
      </c>
      <c r="U645" s="126">
        <v>7737.4283160355308</v>
      </c>
    </row>
    <row r="646" spans="1:21" s="67" customFormat="1" ht="61.5" x14ac:dyDescent="0.9">
      <c r="A646" s="67">
        <v>1</v>
      </c>
      <c r="B646" s="118">
        <f>SUBTOTAL(103,$A$529:A646)</f>
        <v>116</v>
      </c>
      <c r="C646" s="115" t="s">
        <v>478</v>
      </c>
      <c r="D646" s="122">
        <v>1963</v>
      </c>
      <c r="E646" s="127"/>
      <c r="F646" s="127" t="s">
        <v>274</v>
      </c>
      <c r="G646" s="122">
        <v>4</v>
      </c>
      <c r="H646" s="122">
        <v>3</v>
      </c>
      <c r="I646" s="123">
        <v>2171.1999999999998</v>
      </c>
      <c r="J646" s="123">
        <v>2025.5</v>
      </c>
      <c r="K646" s="123">
        <v>1927.8</v>
      </c>
      <c r="L646" s="124">
        <v>84</v>
      </c>
      <c r="M646" s="122" t="s">
        <v>272</v>
      </c>
      <c r="N646" s="122" t="s">
        <v>273</v>
      </c>
      <c r="O646" s="125" t="s">
        <v>275</v>
      </c>
      <c r="P646" s="126">
        <v>4857938</v>
      </c>
      <c r="Q646" s="126">
        <v>0</v>
      </c>
      <c r="R646" s="126">
        <v>0</v>
      </c>
      <c r="S646" s="126">
        <f t="shared" si="187"/>
        <v>4857938</v>
      </c>
      <c r="T646" s="126">
        <f t="shared" si="183"/>
        <v>2237.4438098747237</v>
      </c>
      <c r="U646" s="126">
        <v>2753.8840364775238</v>
      </c>
    </row>
    <row r="647" spans="1:21" s="67" customFormat="1" ht="61.5" x14ac:dyDescent="0.9">
      <c r="A647" s="67">
        <v>1</v>
      </c>
      <c r="B647" s="118">
        <f>SUBTOTAL(103,$A$529:A647)</f>
        <v>117</v>
      </c>
      <c r="C647" s="115" t="s">
        <v>479</v>
      </c>
      <c r="D647" s="122">
        <v>1959</v>
      </c>
      <c r="E647" s="127"/>
      <c r="F647" s="127" t="s">
        <v>274</v>
      </c>
      <c r="G647" s="122">
        <v>2</v>
      </c>
      <c r="H647" s="122">
        <v>2</v>
      </c>
      <c r="I647" s="123">
        <v>678.8</v>
      </c>
      <c r="J647" s="123">
        <v>632.4</v>
      </c>
      <c r="K647" s="123">
        <v>632.4</v>
      </c>
      <c r="L647" s="124">
        <v>42</v>
      </c>
      <c r="M647" s="122" t="s">
        <v>272</v>
      </c>
      <c r="N647" s="122" t="s">
        <v>273</v>
      </c>
      <c r="O647" s="125" t="s">
        <v>275</v>
      </c>
      <c r="P647" s="126">
        <v>3345121.12</v>
      </c>
      <c r="Q647" s="126">
        <v>0</v>
      </c>
      <c r="R647" s="126">
        <v>0</v>
      </c>
      <c r="S647" s="126">
        <f t="shared" si="187"/>
        <v>3345121.12</v>
      </c>
      <c r="T647" s="126">
        <f t="shared" si="183"/>
        <v>4927.9922215674724</v>
      </c>
      <c r="U647" s="126">
        <v>6004.9149675898643</v>
      </c>
    </row>
    <row r="648" spans="1:21" s="67" customFormat="1" ht="61.5" x14ac:dyDescent="0.9">
      <c r="A648" s="67">
        <v>1</v>
      </c>
      <c r="B648" s="118">
        <f>SUBTOTAL(103,$A$529:A648)</f>
        <v>118</v>
      </c>
      <c r="C648" s="115" t="s">
        <v>480</v>
      </c>
      <c r="D648" s="122">
        <v>1959</v>
      </c>
      <c r="E648" s="127"/>
      <c r="F648" s="127" t="s">
        <v>274</v>
      </c>
      <c r="G648" s="122">
        <v>2</v>
      </c>
      <c r="H648" s="122">
        <v>2</v>
      </c>
      <c r="I648" s="123">
        <v>691.7</v>
      </c>
      <c r="J648" s="123">
        <v>645.29999999999995</v>
      </c>
      <c r="K648" s="123">
        <v>563.5</v>
      </c>
      <c r="L648" s="124">
        <v>28</v>
      </c>
      <c r="M648" s="122" t="s">
        <v>272</v>
      </c>
      <c r="N648" s="122" t="s">
        <v>273</v>
      </c>
      <c r="O648" s="125" t="s">
        <v>275</v>
      </c>
      <c r="P648" s="126">
        <v>3345121.12</v>
      </c>
      <c r="Q648" s="126">
        <v>0</v>
      </c>
      <c r="R648" s="126">
        <v>0</v>
      </c>
      <c r="S648" s="126">
        <f t="shared" si="187"/>
        <v>3345121.12</v>
      </c>
      <c r="T648" s="126">
        <f t="shared" si="183"/>
        <v>4836.0866271504983</v>
      </c>
      <c r="U648" s="126">
        <v>5892.9250831285235</v>
      </c>
    </row>
    <row r="649" spans="1:21" s="67" customFormat="1" ht="61.5" x14ac:dyDescent="0.9">
      <c r="A649" s="67">
        <v>1</v>
      </c>
      <c r="B649" s="118">
        <f>SUBTOTAL(103,$A$529:A649)</f>
        <v>119</v>
      </c>
      <c r="C649" s="115" t="s">
        <v>481</v>
      </c>
      <c r="D649" s="122">
        <v>1972</v>
      </c>
      <c r="E649" s="127"/>
      <c r="F649" s="127" t="s">
        <v>274</v>
      </c>
      <c r="G649" s="122">
        <v>2</v>
      </c>
      <c r="H649" s="122">
        <v>2</v>
      </c>
      <c r="I649" s="123">
        <v>795.2</v>
      </c>
      <c r="J649" s="123">
        <v>734.3</v>
      </c>
      <c r="K649" s="123">
        <v>469.2</v>
      </c>
      <c r="L649" s="124">
        <v>34</v>
      </c>
      <c r="M649" s="122" t="s">
        <v>272</v>
      </c>
      <c r="N649" s="122" t="s">
        <v>273</v>
      </c>
      <c r="O649" s="125" t="s">
        <v>275</v>
      </c>
      <c r="P649" s="126">
        <v>3589208.68</v>
      </c>
      <c r="Q649" s="126">
        <v>0</v>
      </c>
      <c r="R649" s="126">
        <v>0</v>
      </c>
      <c r="S649" s="126">
        <f t="shared" si="187"/>
        <v>3589208.68</v>
      </c>
      <c r="T649" s="126">
        <f t="shared" si="183"/>
        <v>4513.5924044265594</v>
      </c>
      <c r="U649" s="126">
        <v>6137.8719401408443</v>
      </c>
    </row>
    <row r="650" spans="1:21" s="67" customFormat="1" ht="61.5" x14ac:dyDescent="0.9">
      <c r="A650" s="67">
        <v>1</v>
      </c>
      <c r="B650" s="118">
        <f>SUBTOTAL(103,$A$529:A650)</f>
        <v>120</v>
      </c>
      <c r="C650" s="115" t="s">
        <v>482</v>
      </c>
      <c r="D650" s="122">
        <v>1954</v>
      </c>
      <c r="E650" s="127"/>
      <c r="F650" s="127" t="s">
        <v>334</v>
      </c>
      <c r="G650" s="122">
        <v>2</v>
      </c>
      <c r="H650" s="122">
        <v>2</v>
      </c>
      <c r="I650" s="123">
        <v>390.9</v>
      </c>
      <c r="J650" s="123">
        <v>360.1</v>
      </c>
      <c r="K650" s="123">
        <v>360.1</v>
      </c>
      <c r="L650" s="124">
        <v>15</v>
      </c>
      <c r="M650" s="122" t="s">
        <v>272</v>
      </c>
      <c r="N650" s="122" t="s">
        <v>273</v>
      </c>
      <c r="O650" s="125" t="s">
        <v>275</v>
      </c>
      <c r="P650" s="126">
        <v>998954.77999999991</v>
      </c>
      <c r="Q650" s="126">
        <v>0</v>
      </c>
      <c r="R650" s="126">
        <v>0</v>
      </c>
      <c r="S650" s="126">
        <f t="shared" si="187"/>
        <v>998954.77999999991</v>
      </c>
      <c r="T650" s="126">
        <f t="shared" si="183"/>
        <v>2555.525147096444</v>
      </c>
      <c r="U650" s="126">
        <v>7898.0806600153492</v>
      </c>
    </row>
    <row r="651" spans="1:21" s="67" customFormat="1" ht="61.5" x14ac:dyDescent="0.9">
      <c r="A651" s="67">
        <v>1</v>
      </c>
      <c r="B651" s="118">
        <f>SUBTOTAL(103,$A$529:A651)</f>
        <v>121</v>
      </c>
      <c r="C651" s="115" t="s">
        <v>1383</v>
      </c>
      <c r="D651" s="122">
        <v>1970</v>
      </c>
      <c r="E651" s="127"/>
      <c r="F651" s="127" t="s">
        <v>274</v>
      </c>
      <c r="G651" s="122">
        <v>2</v>
      </c>
      <c r="H651" s="122">
        <v>2</v>
      </c>
      <c r="I651" s="123">
        <v>780.1</v>
      </c>
      <c r="J651" s="123">
        <v>721</v>
      </c>
      <c r="K651" s="123">
        <v>721</v>
      </c>
      <c r="L651" s="124">
        <v>29</v>
      </c>
      <c r="M651" s="122" t="s">
        <v>272</v>
      </c>
      <c r="N651" s="122" t="s">
        <v>273</v>
      </c>
      <c r="O651" s="125" t="s">
        <v>275</v>
      </c>
      <c r="P651" s="126">
        <v>3973949.34</v>
      </c>
      <c r="Q651" s="126">
        <v>0</v>
      </c>
      <c r="R651" s="126">
        <v>0</v>
      </c>
      <c r="S651" s="126">
        <f t="shared" si="187"/>
        <v>3973949.34</v>
      </c>
      <c r="T651" s="126">
        <f t="shared" si="183"/>
        <v>5094.1537495192924</v>
      </c>
      <c r="U651" s="126">
        <v>6199.9296854249451</v>
      </c>
    </row>
    <row r="652" spans="1:21" s="67" customFormat="1" ht="61.5" x14ac:dyDescent="0.9">
      <c r="A652" s="67">
        <v>1</v>
      </c>
      <c r="B652" s="118">
        <f>SUBTOTAL(103,$A$529:A652)</f>
        <v>122</v>
      </c>
      <c r="C652" s="115" t="s">
        <v>484</v>
      </c>
      <c r="D652" s="122">
        <v>1971</v>
      </c>
      <c r="E652" s="127"/>
      <c r="F652" s="127" t="s">
        <v>274</v>
      </c>
      <c r="G652" s="122">
        <v>2</v>
      </c>
      <c r="H652" s="122">
        <v>2</v>
      </c>
      <c r="I652" s="123">
        <v>775.6</v>
      </c>
      <c r="J652" s="123">
        <v>716.4</v>
      </c>
      <c r="K652" s="123">
        <v>574.1</v>
      </c>
      <c r="L652" s="124">
        <v>35</v>
      </c>
      <c r="M652" s="122" t="s">
        <v>272</v>
      </c>
      <c r="N652" s="122" t="s">
        <v>273</v>
      </c>
      <c r="O652" s="125" t="s">
        <v>275</v>
      </c>
      <c r="P652" s="126">
        <v>3793636.92</v>
      </c>
      <c r="Q652" s="126">
        <v>0</v>
      </c>
      <c r="R652" s="126">
        <v>0</v>
      </c>
      <c r="S652" s="126">
        <f t="shared" si="187"/>
        <v>3793636.92</v>
      </c>
      <c r="T652" s="126">
        <f t="shared" si="183"/>
        <v>4891.228623001547</v>
      </c>
      <c r="U652" s="126">
        <v>6299.5934502320779</v>
      </c>
    </row>
    <row r="653" spans="1:21" s="67" customFormat="1" ht="61.5" x14ac:dyDescent="0.9">
      <c r="A653" s="67">
        <v>1</v>
      </c>
      <c r="B653" s="118">
        <f>SUBTOTAL(103,$A$529:A653)</f>
        <v>123</v>
      </c>
      <c r="C653" s="115" t="s">
        <v>485</v>
      </c>
      <c r="D653" s="122">
        <v>1957</v>
      </c>
      <c r="E653" s="127">
        <v>2010</v>
      </c>
      <c r="F653" s="127" t="s">
        <v>274</v>
      </c>
      <c r="G653" s="122">
        <v>2</v>
      </c>
      <c r="H653" s="122">
        <v>2</v>
      </c>
      <c r="I653" s="123">
        <v>809.2</v>
      </c>
      <c r="J653" s="123">
        <v>720</v>
      </c>
      <c r="K653" s="123">
        <v>526.70000000000005</v>
      </c>
      <c r="L653" s="124">
        <v>14</v>
      </c>
      <c r="M653" s="122" t="s">
        <v>272</v>
      </c>
      <c r="N653" s="122" t="s">
        <v>351</v>
      </c>
      <c r="O653" s="125" t="s">
        <v>353</v>
      </c>
      <c r="P653" s="126">
        <v>3465849.6</v>
      </c>
      <c r="Q653" s="126">
        <v>0</v>
      </c>
      <c r="R653" s="126">
        <v>0</v>
      </c>
      <c r="S653" s="126">
        <f t="shared" si="187"/>
        <v>3465849.6</v>
      </c>
      <c r="T653" s="126">
        <f t="shared" si="183"/>
        <v>4283.0568462679184</v>
      </c>
      <c r="U653" s="126">
        <v>4283.0568462679184</v>
      </c>
    </row>
    <row r="654" spans="1:21" s="67" customFormat="1" ht="61.5" x14ac:dyDescent="0.9">
      <c r="A654" s="67">
        <v>1</v>
      </c>
      <c r="B654" s="118">
        <f>SUBTOTAL(103,$A$529:A654)</f>
        <v>124</v>
      </c>
      <c r="C654" s="115" t="s">
        <v>486</v>
      </c>
      <c r="D654" s="122">
        <v>1976</v>
      </c>
      <c r="E654" s="127">
        <v>2008</v>
      </c>
      <c r="F654" s="127" t="s">
        <v>321</v>
      </c>
      <c r="G654" s="122">
        <v>5</v>
      </c>
      <c r="H654" s="122">
        <v>10</v>
      </c>
      <c r="I654" s="123">
        <v>8393.7999999999993</v>
      </c>
      <c r="J654" s="123">
        <v>7705.8</v>
      </c>
      <c r="K654" s="123">
        <v>7147.7</v>
      </c>
      <c r="L654" s="124">
        <v>351</v>
      </c>
      <c r="M654" s="122" t="s">
        <v>272</v>
      </c>
      <c r="N654" s="122" t="s">
        <v>276</v>
      </c>
      <c r="O654" s="125" t="s">
        <v>354</v>
      </c>
      <c r="P654" s="126">
        <v>7806669.5300000003</v>
      </c>
      <c r="Q654" s="126">
        <v>0</v>
      </c>
      <c r="R654" s="126">
        <v>0</v>
      </c>
      <c r="S654" s="126">
        <f t="shared" si="187"/>
        <v>7806669.5300000003</v>
      </c>
      <c r="T654" s="126">
        <f t="shared" ref="T654:T717" si="188">P654/I654</f>
        <v>930.05188710715061</v>
      </c>
      <c r="U654" s="126">
        <v>2471.0372496962045</v>
      </c>
    </row>
    <row r="655" spans="1:21" s="67" customFormat="1" ht="61.5" x14ac:dyDescent="0.9">
      <c r="B655" s="115" t="s">
        <v>807</v>
      </c>
      <c r="C655" s="119"/>
      <c r="D655" s="122" t="s">
        <v>943</v>
      </c>
      <c r="E655" s="122" t="s">
        <v>943</v>
      </c>
      <c r="F655" s="122" t="s">
        <v>943</v>
      </c>
      <c r="G655" s="122" t="s">
        <v>943</v>
      </c>
      <c r="H655" s="122" t="s">
        <v>943</v>
      </c>
      <c r="I655" s="123">
        <f>SUM(I656:I710)</f>
        <v>101227.12999999998</v>
      </c>
      <c r="J655" s="123">
        <f t="shared" ref="J655:L655" si="189">SUM(J656:J710)</f>
        <v>86327.89</v>
      </c>
      <c r="K655" s="123">
        <f t="shared" si="189"/>
        <v>77416.849999999991</v>
      </c>
      <c r="L655" s="124">
        <f t="shared" si="189"/>
        <v>4156</v>
      </c>
      <c r="M655" s="122" t="s">
        <v>943</v>
      </c>
      <c r="N655" s="122" t="s">
        <v>943</v>
      </c>
      <c r="O655" s="125" t="s">
        <v>943</v>
      </c>
      <c r="P655" s="123">
        <v>95396897.950000003</v>
      </c>
      <c r="Q655" s="123">
        <f t="shared" ref="Q655:S655" si="190">SUM(Q656:Q710)</f>
        <v>0</v>
      </c>
      <c r="R655" s="123">
        <f t="shared" si="190"/>
        <v>0</v>
      </c>
      <c r="S655" s="123">
        <f t="shared" si="190"/>
        <v>95396897.950000003</v>
      </c>
      <c r="T655" s="126">
        <f t="shared" si="188"/>
        <v>942.40445175122545</v>
      </c>
      <c r="U655" s="126">
        <f>MAX(U656:U683)</f>
        <v>7450.847042688154</v>
      </c>
    </row>
    <row r="656" spans="1:21" s="67" customFormat="1" ht="61.5" x14ac:dyDescent="0.9">
      <c r="A656" s="67">
        <v>1</v>
      </c>
      <c r="B656" s="118">
        <f>SUBTOTAL(103,$A$529:A656)</f>
        <v>125</v>
      </c>
      <c r="C656" s="115" t="s">
        <v>420</v>
      </c>
      <c r="D656" s="122">
        <v>1985</v>
      </c>
      <c r="E656" s="127"/>
      <c r="F656" s="127" t="s">
        <v>274</v>
      </c>
      <c r="G656" s="122">
        <v>5</v>
      </c>
      <c r="H656" s="122">
        <v>6</v>
      </c>
      <c r="I656" s="123">
        <v>4537.2</v>
      </c>
      <c r="J656" s="123">
        <v>4163</v>
      </c>
      <c r="K656" s="123">
        <v>3807.9</v>
      </c>
      <c r="L656" s="124">
        <v>204</v>
      </c>
      <c r="M656" s="122" t="s">
        <v>272</v>
      </c>
      <c r="N656" s="122" t="s">
        <v>276</v>
      </c>
      <c r="O656" s="125" t="s">
        <v>1061</v>
      </c>
      <c r="P656" s="126">
        <v>6634502.3200000003</v>
      </c>
      <c r="Q656" s="126">
        <v>0</v>
      </c>
      <c r="R656" s="126">
        <v>0</v>
      </c>
      <c r="S656" s="126">
        <f t="shared" ref="S656:S710" si="191">P656-Q656-R656</f>
        <v>6634502.3200000003</v>
      </c>
      <c r="T656" s="126">
        <f t="shared" si="188"/>
        <v>1462.245949043463</v>
      </c>
      <c r="U656" s="126">
        <v>2077.8789319404036</v>
      </c>
    </row>
    <row r="657" spans="1:21" s="67" customFormat="1" ht="61.5" x14ac:dyDescent="0.9">
      <c r="A657" s="67">
        <v>1</v>
      </c>
      <c r="B657" s="118">
        <f>SUBTOTAL(103,$A$529:A657)</f>
        <v>126</v>
      </c>
      <c r="C657" s="115" t="s">
        <v>421</v>
      </c>
      <c r="D657" s="122" t="s">
        <v>339</v>
      </c>
      <c r="E657" s="127"/>
      <c r="F657" s="127" t="s">
        <v>274</v>
      </c>
      <c r="G657" s="122">
        <v>9</v>
      </c>
      <c r="H657" s="122">
        <v>1</v>
      </c>
      <c r="I657" s="123">
        <v>2760.5</v>
      </c>
      <c r="J657" s="123">
        <v>2756.6</v>
      </c>
      <c r="K657" s="123">
        <v>2688.2</v>
      </c>
      <c r="L657" s="124">
        <v>123</v>
      </c>
      <c r="M657" s="122" t="s">
        <v>272</v>
      </c>
      <c r="N657" s="122" t="s">
        <v>276</v>
      </c>
      <c r="O657" s="125" t="s">
        <v>332</v>
      </c>
      <c r="P657" s="126">
        <v>2216554.6800000002</v>
      </c>
      <c r="Q657" s="126">
        <v>0</v>
      </c>
      <c r="R657" s="126">
        <v>0</v>
      </c>
      <c r="S657" s="126">
        <f t="shared" si="191"/>
        <v>2216554.6800000002</v>
      </c>
      <c r="T657" s="126">
        <f t="shared" si="188"/>
        <v>802.95405904727409</v>
      </c>
      <c r="U657" s="126">
        <v>814.45499003803661</v>
      </c>
    </row>
    <row r="658" spans="1:21" s="67" customFormat="1" ht="61.5" x14ac:dyDescent="0.9">
      <c r="A658" s="67">
        <v>1</v>
      </c>
      <c r="B658" s="118">
        <f>SUBTOTAL(103,$A$529:A658)</f>
        <v>127</v>
      </c>
      <c r="C658" s="115" t="s">
        <v>422</v>
      </c>
      <c r="D658" s="122">
        <v>1987</v>
      </c>
      <c r="E658" s="127"/>
      <c r="F658" s="127" t="s">
        <v>274</v>
      </c>
      <c r="G658" s="122">
        <v>9</v>
      </c>
      <c r="H658" s="122">
        <v>1</v>
      </c>
      <c r="I658" s="123">
        <v>6006.9</v>
      </c>
      <c r="J658" s="123">
        <v>4693</v>
      </c>
      <c r="K658" s="123">
        <v>4333.1000000000004</v>
      </c>
      <c r="L658" s="124">
        <v>292</v>
      </c>
      <c r="M658" s="122" t="s">
        <v>272</v>
      </c>
      <c r="N658" s="122" t="s">
        <v>276</v>
      </c>
      <c r="O658" s="125" t="s">
        <v>331</v>
      </c>
      <c r="P658" s="126">
        <v>4590000</v>
      </c>
      <c r="Q658" s="126">
        <v>0</v>
      </c>
      <c r="R658" s="126">
        <v>0</v>
      </c>
      <c r="S658" s="126">
        <f t="shared" si="191"/>
        <v>4590000</v>
      </c>
      <c r="T658" s="126">
        <f t="shared" si="188"/>
        <v>764.12126055036708</v>
      </c>
      <c r="U658" s="126">
        <v>1031.3451630624782</v>
      </c>
    </row>
    <row r="659" spans="1:21" s="67" customFormat="1" ht="61.5" x14ac:dyDescent="0.9">
      <c r="A659" s="67">
        <v>1</v>
      </c>
      <c r="B659" s="118">
        <f>SUBTOTAL(103,$A$529:A659)</f>
        <v>128</v>
      </c>
      <c r="C659" s="115" t="s">
        <v>423</v>
      </c>
      <c r="D659" s="122">
        <v>1959</v>
      </c>
      <c r="E659" s="127"/>
      <c r="F659" s="127" t="s">
        <v>274</v>
      </c>
      <c r="G659" s="122">
        <v>4</v>
      </c>
      <c r="H659" s="122">
        <v>1</v>
      </c>
      <c r="I659" s="123">
        <v>1756.3</v>
      </c>
      <c r="J659" s="123">
        <v>1356.3</v>
      </c>
      <c r="K659" s="123">
        <v>1024.3</v>
      </c>
      <c r="L659" s="124">
        <v>59</v>
      </c>
      <c r="M659" s="122" t="s">
        <v>272</v>
      </c>
      <c r="N659" s="122" t="s">
        <v>273</v>
      </c>
      <c r="O659" s="125" t="s">
        <v>275</v>
      </c>
      <c r="P659" s="126">
        <v>3250000</v>
      </c>
      <c r="Q659" s="126">
        <v>0</v>
      </c>
      <c r="R659" s="126">
        <v>0</v>
      </c>
      <c r="S659" s="126">
        <f t="shared" si="191"/>
        <v>3250000</v>
      </c>
      <c r="T659" s="126">
        <f t="shared" si="188"/>
        <v>1850.4811250925241</v>
      </c>
      <c r="U659" s="126">
        <v>2497.6202812731312</v>
      </c>
    </row>
    <row r="660" spans="1:21" s="67" customFormat="1" ht="61.5" x14ac:dyDescent="0.9">
      <c r="A660" s="67">
        <v>1</v>
      </c>
      <c r="B660" s="118">
        <f>SUBTOTAL(103,$A$529:A660)</f>
        <v>129</v>
      </c>
      <c r="C660" s="115" t="s">
        <v>424</v>
      </c>
      <c r="D660" s="122">
        <v>1941</v>
      </c>
      <c r="E660" s="127"/>
      <c r="F660" s="127" t="s">
        <v>334</v>
      </c>
      <c r="G660" s="122">
        <v>2</v>
      </c>
      <c r="H660" s="122">
        <v>2</v>
      </c>
      <c r="I660" s="123">
        <v>743.7</v>
      </c>
      <c r="J660" s="123">
        <v>550.15</v>
      </c>
      <c r="K660" s="123">
        <v>379.65</v>
      </c>
      <c r="L660" s="124">
        <v>21</v>
      </c>
      <c r="M660" s="122" t="s">
        <v>272</v>
      </c>
      <c r="N660" s="122" t="s">
        <v>276</v>
      </c>
      <c r="O660" s="125" t="s">
        <v>335</v>
      </c>
      <c r="P660" s="126">
        <v>3100000</v>
      </c>
      <c r="Q660" s="126">
        <v>0</v>
      </c>
      <c r="R660" s="126">
        <v>0</v>
      </c>
      <c r="S660" s="126">
        <f t="shared" si="191"/>
        <v>3100000</v>
      </c>
      <c r="T660" s="126">
        <f t="shared" si="188"/>
        <v>4168.3474519295414</v>
      </c>
      <c r="U660" s="126">
        <v>5626.0769127336289</v>
      </c>
    </row>
    <row r="661" spans="1:21" s="67" customFormat="1" ht="61.5" x14ac:dyDescent="0.9">
      <c r="A661" s="67">
        <v>1</v>
      </c>
      <c r="B661" s="118">
        <f>SUBTOTAL(103,$A$529:A661)</f>
        <v>130</v>
      </c>
      <c r="C661" s="115" t="s">
        <v>425</v>
      </c>
      <c r="D661" s="122">
        <v>1957</v>
      </c>
      <c r="E661" s="127"/>
      <c r="F661" s="127" t="s">
        <v>274</v>
      </c>
      <c r="G661" s="122">
        <v>2</v>
      </c>
      <c r="H661" s="122">
        <v>2</v>
      </c>
      <c r="I661" s="123">
        <v>706.7</v>
      </c>
      <c r="J661" s="123">
        <v>646.1</v>
      </c>
      <c r="K661" s="123">
        <v>646.1</v>
      </c>
      <c r="L661" s="124">
        <v>23</v>
      </c>
      <c r="M661" s="122" t="s">
        <v>272</v>
      </c>
      <c r="N661" s="122" t="s">
        <v>273</v>
      </c>
      <c r="O661" s="125" t="s">
        <v>275</v>
      </c>
      <c r="P661" s="126">
        <v>3000000</v>
      </c>
      <c r="Q661" s="126">
        <v>0</v>
      </c>
      <c r="R661" s="126">
        <v>0</v>
      </c>
      <c r="S661" s="126">
        <f t="shared" si="191"/>
        <v>3000000</v>
      </c>
      <c r="T661" s="126">
        <f t="shared" si="188"/>
        <v>4245.0827791141928</v>
      </c>
      <c r="U661" s="126">
        <v>5729.6476581293327</v>
      </c>
    </row>
    <row r="662" spans="1:21" s="67" customFormat="1" ht="61.5" x14ac:dyDescent="0.9">
      <c r="A662" s="67">
        <v>1</v>
      </c>
      <c r="B662" s="118">
        <f>SUBTOTAL(103,$A$529:A662)</f>
        <v>131</v>
      </c>
      <c r="C662" s="115" t="s">
        <v>204</v>
      </c>
      <c r="D662" s="128">
        <v>1966</v>
      </c>
      <c r="E662" s="127"/>
      <c r="F662" s="127" t="s">
        <v>274</v>
      </c>
      <c r="G662" s="122">
        <v>2</v>
      </c>
      <c r="H662" s="122">
        <v>1</v>
      </c>
      <c r="I662" s="123">
        <v>683.5</v>
      </c>
      <c r="J662" s="123">
        <v>634.5</v>
      </c>
      <c r="K662" s="123">
        <v>531.20000000000005</v>
      </c>
      <c r="L662" s="124">
        <v>28</v>
      </c>
      <c r="M662" s="122" t="s">
        <v>272</v>
      </c>
      <c r="N662" s="122" t="s">
        <v>276</v>
      </c>
      <c r="O662" s="125" t="s">
        <v>336</v>
      </c>
      <c r="P662" s="126">
        <v>686139</v>
      </c>
      <c r="Q662" s="126">
        <v>0</v>
      </c>
      <c r="R662" s="126">
        <v>0</v>
      </c>
      <c r="S662" s="126">
        <f t="shared" si="191"/>
        <v>686139</v>
      </c>
      <c r="T662" s="126">
        <f t="shared" si="188"/>
        <v>1003.8610095098757</v>
      </c>
      <c r="U662" s="126">
        <v>1003.8610095098757</v>
      </c>
    </row>
    <row r="663" spans="1:21" s="67" customFormat="1" ht="61.5" x14ac:dyDescent="0.9">
      <c r="A663" s="67">
        <v>1</v>
      </c>
      <c r="B663" s="118">
        <f>SUBTOTAL(103,$A$529:A663)</f>
        <v>132</v>
      </c>
      <c r="C663" s="115" t="s">
        <v>205</v>
      </c>
      <c r="D663" s="128">
        <v>1974</v>
      </c>
      <c r="E663" s="127"/>
      <c r="F663" s="127" t="s">
        <v>274</v>
      </c>
      <c r="G663" s="122">
        <v>2</v>
      </c>
      <c r="H663" s="122">
        <v>2</v>
      </c>
      <c r="I663" s="123">
        <v>762</v>
      </c>
      <c r="J663" s="123">
        <v>702.6</v>
      </c>
      <c r="K663" s="123">
        <v>623.1</v>
      </c>
      <c r="L663" s="124">
        <v>48</v>
      </c>
      <c r="M663" s="122" t="s">
        <v>272</v>
      </c>
      <c r="N663" s="122" t="s">
        <v>276</v>
      </c>
      <c r="O663" s="125" t="s">
        <v>336</v>
      </c>
      <c r="P663" s="126">
        <v>783943</v>
      </c>
      <c r="Q663" s="126">
        <v>0</v>
      </c>
      <c r="R663" s="126">
        <v>0</v>
      </c>
      <c r="S663" s="126">
        <f t="shared" si="191"/>
        <v>783943</v>
      </c>
      <c r="T663" s="126">
        <f t="shared" si="188"/>
        <v>1028.7965879265091</v>
      </c>
      <c r="U663" s="126">
        <v>1028.7965879265091</v>
      </c>
    </row>
    <row r="664" spans="1:21" s="67" customFormat="1" ht="61.5" x14ac:dyDescent="0.9">
      <c r="A664" s="67">
        <v>1</v>
      </c>
      <c r="B664" s="118">
        <f>SUBTOTAL(103,$A$529:A664)</f>
        <v>133</v>
      </c>
      <c r="C664" s="115" t="s">
        <v>206</v>
      </c>
      <c r="D664" s="122">
        <v>1973</v>
      </c>
      <c r="E664" s="127"/>
      <c r="F664" s="127" t="s">
        <v>274</v>
      </c>
      <c r="G664" s="122">
        <v>2</v>
      </c>
      <c r="H664" s="122">
        <v>2</v>
      </c>
      <c r="I664" s="123">
        <v>746.5</v>
      </c>
      <c r="J664" s="123">
        <v>687.5</v>
      </c>
      <c r="K664" s="123">
        <v>552</v>
      </c>
      <c r="L664" s="124">
        <v>48</v>
      </c>
      <c r="M664" s="122" t="s">
        <v>272</v>
      </c>
      <c r="N664" s="122" t="s">
        <v>276</v>
      </c>
      <c r="O664" s="125" t="s">
        <v>336</v>
      </c>
      <c r="P664" s="126">
        <v>776127.96</v>
      </c>
      <c r="Q664" s="126">
        <v>0</v>
      </c>
      <c r="R664" s="126">
        <v>0</v>
      </c>
      <c r="S664" s="126">
        <f t="shared" si="191"/>
        <v>776127.96</v>
      </c>
      <c r="T664" s="126">
        <f t="shared" si="188"/>
        <v>1039.6891627595444</v>
      </c>
      <c r="U664" s="126">
        <v>1039.6891627595444</v>
      </c>
    </row>
    <row r="665" spans="1:21" s="67" customFormat="1" ht="61.5" x14ac:dyDescent="0.9">
      <c r="A665" s="67">
        <v>1</v>
      </c>
      <c r="B665" s="118">
        <f>SUBTOTAL(103,$A$529:A665)</f>
        <v>134</v>
      </c>
      <c r="C665" s="115" t="s">
        <v>426</v>
      </c>
      <c r="D665" s="122">
        <v>1960</v>
      </c>
      <c r="E665" s="127"/>
      <c r="F665" s="127" t="s">
        <v>274</v>
      </c>
      <c r="G665" s="122">
        <v>2</v>
      </c>
      <c r="H665" s="122">
        <v>2</v>
      </c>
      <c r="I665" s="123">
        <v>582.70000000000005</v>
      </c>
      <c r="J665" s="123">
        <v>535.70000000000005</v>
      </c>
      <c r="K665" s="123">
        <v>506.30000000000007</v>
      </c>
      <c r="L665" s="124">
        <v>28</v>
      </c>
      <c r="M665" s="122" t="s">
        <v>272</v>
      </c>
      <c r="N665" s="122" t="s">
        <v>276</v>
      </c>
      <c r="O665" s="125" t="s">
        <v>331</v>
      </c>
      <c r="P665" s="126">
        <v>2375000</v>
      </c>
      <c r="Q665" s="126">
        <v>0</v>
      </c>
      <c r="R665" s="126">
        <v>0</v>
      </c>
      <c r="S665" s="126">
        <f t="shared" si="191"/>
        <v>2375000</v>
      </c>
      <c r="T665" s="126">
        <f t="shared" si="188"/>
        <v>4075.8537841084603</v>
      </c>
      <c r="U665" s="126">
        <v>5524.4000171614889</v>
      </c>
    </row>
    <row r="666" spans="1:21" s="67" customFormat="1" ht="61.5" x14ac:dyDescent="0.9">
      <c r="A666" s="67">
        <v>1</v>
      </c>
      <c r="B666" s="118">
        <f>SUBTOTAL(103,$A$529:A666)</f>
        <v>135</v>
      </c>
      <c r="C666" s="115" t="s">
        <v>427</v>
      </c>
      <c r="D666" s="122">
        <v>1960</v>
      </c>
      <c r="E666" s="127"/>
      <c r="F666" s="127" t="s">
        <v>274</v>
      </c>
      <c r="G666" s="122">
        <v>2</v>
      </c>
      <c r="H666" s="122">
        <v>2</v>
      </c>
      <c r="I666" s="123">
        <v>592.20000000000005</v>
      </c>
      <c r="J666" s="123">
        <v>550.70000000000005</v>
      </c>
      <c r="K666" s="123">
        <v>444.6</v>
      </c>
      <c r="L666" s="124">
        <v>36</v>
      </c>
      <c r="M666" s="122" t="s">
        <v>272</v>
      </c>
      <c r="N666" s="122" t="s">
        <v>276</v>
      </c>
      <c r="O666" s="125" t="s">
        <v>338</v>
      </c>
      <c r="P666" s="126">
        <v>2360000</v>
      </c>
      <c r="Q666" s="126">
        <v>0</v>
      </c>
      <c r="R666" s="126">
        <v>0</v>
      </c>
      <c r="S666" s="126">
        <f t="shared" si="191"/>
        <v>2360000</v>
      </c>
      <c r="T666" s="126">
        <f t="shared" si="188"/>
        <v>3985.1401553529208</v>
      </c>
      <c r="U666" s="126">
        <v>5378.7994596420122</v>
      </c>
    </row>
    <row r="667" spans="1:21" s="67" customFormat="1" ht="61.5" x14ac:dyDescent="0.9">
      <c r="A667" s="67">
        <v>1</v>
      </c>
      <c r="B667" s="118">
        <f>SUBTOTAL(103,$A$529:A667)</f>
        <v>136</v>
      </c>
      <c r="C667" s="115" t="s">
        <v>428</v>
      </c>
      <c r="D667" s="122">
        <v>1950</v>
      </c>
      <c r="E667" s="127"/>
      <c r="F667" s="127" t="s">
        <v>274</v>
      </c>
      <c r="G667" s="122">
        <v>3</v>
      </c>
      <c r="H667" s="122">
        <v>2</v>
      </c>
      <c r="I667" s="123">
        <v>894.76</v>
      </c>
      <c r="J667" s="123">
        <v>604</v>
      </c>
      <c r="K667" s="123">
        <v>604</v>
      </c>
      <c r="L667" s="124">
        <v>19</v>
      </c>
      <c r="M667" s="122" t="s">
        <v>272</v>
      </c>
      <c r="N667" s="122" t="s">
        <v>276</v>
      </c>
      <c r="O667" s="125" t="s">
        <v>336</v>
      </c>
      <c r="P667" s="126">
        <v>2345000</v>
      </c>
      <c r="Q667" s="126">
        <v>0</v>
      </c>
      <c r="R667" s="126">
        <v>0</v>
      </c>
      <c r="S667" s="126">
        <f t="shared" si="191"/>
        <v>2345000</v>
      </c>
      <c r="T667" s="126">
        <f t="shared" si="188"/>
        <v>2620.8145200947743</v>
      </c>
      <c r="U667" s="126">
        <v>3537.3500491751979</v>
      </c>
    </row>
    <row r="668" spans="1:21" s="67" customFormat="1" ht="61.5" x14ac:dyDescent="0.9">
      <c r="A668" s="67">
        <v>1</v>
      </c>
      <c r="B668" s="118">
        <f>SUBTOTAL(103,$A$529:A668)</f>
        <v>137</v>
      </c>
      <c r="C668" s="115" t="s">
        <v>429</v>
      </c>
      <c r="D668" s="122">
        <v>1977</v>
      </c>
      <c r="E668" s="127"/>
      <c r="F668" s="127" t="s">
        <v>274</v>
      </c>
      <c r="G668" s="122">
        <v>9</v>
      </c>
      <c r="H668" s="122">
        <v>2</v>
      </c>
      <c r="I668" s="123">
        <v>4984</v>
      </c>
      <c r="J668" s="123">
        <v>3763.9</v>
      </c>
      <c r="K668" s="123">
        <v>3573.6</v>
      </c>
      <c r="L668" s="124">
        <v>172</v>
      </c>
      <c r="M668" s="122" t="s">
        <v>272</v>
      </c>
      <c r="N668" s="122" t="s">
        <v>276</v>
      </c>
      <c r="O668" s="125" t="s">
        <v>1061</v>
      </c>
      <c r="P668" s="126">
        <v>6570450</v>
      </c>
      <c r="Q668" s="126">
        <v>0</v>
      </c>
      <c r="R668" s="126">
        <v>0</v>
      </c>
      <c r="S668" s="126">
        <f t="shared" si="191"/>
        <v>6570450</v>
      </c>
      <c r="T668" s="126">
        <f t="shared" si="188"/>
        <v>1318.3085874799358</v>
      </c>
      <c r="U668" s="126">
        <v>1779.2176926163725</v>
      </c>
    </row>
    <row r="669" spans="1:21" s="67" customFormat="1" ht="61.5" x14ac:dyDescent="0.9">
      <c r="A669" s="67">
        <v>1</v>
      </c>
      <c r="B669" s="118">
        <f>SUBTOTAL(103,$A$529:A669)</f>
        <v>138</v>
      </c>
      <c r="C669" s="115" t="s">
        <v>430</v>
      </c>
      <c r="D669" s="122">
        <v>1961</v>
      </c>
      <c r="E669" s="127"/>
      <c r="F669" s="127" t="s">
        <v>274</v>
      </c>
      <c r="G669" s="122">
        <v>4</v>
      </c>
      <c r="H669" s="122">
        <v>2</v>
      </c>
      <c r="I669" s="123">
        <v>2700.93</v>
      </c>
      <c r="J669" s="123">
        <v>2360.79</v>
      </c>
      <c r="K669" s="123">
        <v>2305.5700000000002</v>
      </c>
      <c r="L669" s="124">
        <v>85</v>
      </c>
      <c r="M669" s="122" t="s">
        <v>272</v>
      </c>
      <c r="N669" s="122" t="s">
        <v>276</v>
      </c>
      <c r="O669" s="125" t="s">
        <v>331</v>
      </c>
      <c r="P669" s="126">
        <v>5669999.9900000002</v>
      </c>
      <c r="Q669" s="126">
        <v>0</v>
      </c>
      <c r="R669" s="126">
        <v>0</v>
      </c>
      <c r="S669" s="126">
        <f t="shared" si="191"/>
        <v>5669999.9900000002</v>
      </c>
      <c r="T669" s="126">
        <f t="shared" si="188"/>
        <v>2099.2769120265984</v>
      </c>
      <c r="U669" s="126">
        <v>2833.4234430362876</v>
      </c>
    </row>
    <row r="670" spans="1:21" s="67" customFormat="1" ht="61.5" x14ac:dyDescent="0.9">
      <c r="A670" s="67">
        <v>1</v>
      </c>
      <c r="B670" s="118">
        <f>SUBTOTAL(103,$A$529:A670)</f>
        <v>139</v>
      </c>
      <c r="C670" s="115" t="s">
        <v>431</v>
      </c>
      <c r="D670" s="122">
        <v>1963</v>
      </c>
      <c r="E670" s="127"/>
      <c r="F670" s="127" t="s">
        <v>274</v>
      </c>
      <c r="G670" s="122">
        <v>4</v>
      </c>
      <c r="H670" s="122">
        <v>2</v>
      </c>
      <c r="I670" s="123">
        <v>1374.8</v>
      </c>
      <c r="J670" s="123">
        <v>1010.2</v>
      </c>
      <c r="K670" s="123">
        <v>1010.2</v>
      </c>
      <c r="L670" s="124">
        <v>43</v>
      </c>
      <c r="M670" s="122" t="s">
        <v>272</v>
      </c>
      <c r="N670" s="122" t="s">
        <v>276</v>
      </c>
      <c r="O670" s="125" t="s">
        <v>331</v>
      </c>
      <c r="P670" s="126">
        <v>2895000</v>
      </c>
      <c r="Q670" s="126">
        <v>0</v>
      </c>
      <c r="R670" s="126">
        <v>0</v>
      </c>
      <c r="S670" s="126">
        <f t="shared" si="191"/>
        <v>2895000</v>
      </c>
      <c r="T670" s="126">
        <f t="shared" si="188"/>
        <v>2105.760837940064</v>
      </c>
      <c r="U670" s="126">
        <v>2842.1748836194356</v>
      </c>
    </row>
    <row r="671" spans="1:21" s="67" customFormat="1" ht="61.5" x14ac:dyDescent="0.9">
      <c r="A671" s="67">
        <v>1</v>
      </c>
      <c r="B671" s="118">
        <f>SUBTOTAL(103,$A$529:A671)</f>
        <v>140</v>
      </c>
      <c r="C671" s="115" t="s">
        <v>432</v>
      </c>
      <c r="D671" s="122">
        <v>1958</v>
      </c>
      <c r="E671" s="127"/>
      <c r="F671" s="127" t="s">
        <v>274</v>
      </c>
      <c r="G671" s="122">
        <v>2</v>
      </c>
      <c r="H671" s="122">
        <v>2</v>
      </c>
      <c r="I671" s="123">
        <v>653.70000000000005</v>
      </c>
      <c r="J671" s="123">
        <v>606</v>
      </c>
      <c r="K671" s="123">
        <v>538.1</v>
      </c>
      <c r="L671" s="124">
        <v>27</v>
      </c>
      <c r="M671" s="122" t="s">
        <v>272</v>
      </c>
      <c r="N671" s="122" t="s">
        <v>276</v>
      </c>
      <c r="O671" s="125" t="s">
        <v>335</v>
      </c>
      <c r="P671" s="126">
        <v>2850000</v>
      </c>
      <c r="Q671" s="126">
        <v>0</v>
      </c>
      <c r="R671" s="126">
        <v>0</v>
      </c>
      <c r="S671" s="126">
        <f t="shared" si="191"/>
        <v>2850000</v>
      </c>
      <c r="T671" s="126">
        <f t="shared" si="188"/>
        <v>4359.7980725103253</v>
      </c>
      <c r="U671" s="126">
        <v>5884.4804956402013</v>
      </c>
    </row>
    <row r="672" spans="1:21" s="67" customFormat="1" ht="61.5" x14ac:dyDescent="0.9">
      <c r="A672" s="67">
        <v>1</v>
      </c>
      <c r="B672" s="118">
        <f>SUBTOTAL(103,$A$529:A672)</f>
        <v>141</v>
      </c>
      <c r="C672" s="115" t="s">
        <v>433</v>
      </c>
      <c r="D672" s="122">
        <v>1961</v>
      </c>
      <c r="E672" s="127"/>
      <c r="F672" s="127" t="s">
        <v>274</v>
      </c>
      <c r="G672" s="122">
        <v>2</v>
      </c>
      <c r="H672" s="122">
        <v>1</v>
      </c>
      <c r="I672" s="123">
        <v>291.64999999999998</v>
      </c>
      <c r="J672" s="123">
        <v>275.13</v>
      </c>
      <c r="K672" s="123">
        <v>135.19999999999999</v>
      </c>
      <c r="L672" s="124">
        <v>18</v>
      </c>
      <c r="M672" s="122" t="s">
        <v>272</v>
      </c>
      <c r="N672" s="122" t="s">
        <v>273</v>
      </c>
      <c r="O672" s="125" t="s">
        <v>275</v>
      </c>
      <c r="P672" s="126">
        <v>1600000</v>
      </c>
      <c r="Q672" s="126">
        <v>0</v>
      </c>
      <c r="R672" s="126">
        <v>0</v>
      </c>
      <c r="S672" s="126">
        <f t="shared" si="191"/>
        <v>1600000</v>
      </c>
      <c r="T672" s="126">
        <f t="shared" si="188"/>
        <v>5486.0277730156013</v>
      </c>
      <c r="U672" s="126">
        <v>7450.847042688154</v>
      </c>
    </row>
    <row r="673" spans="1:21" s="67" customFormat="1" ht="61.5" x14ac:dyDescent="0.9">
      <c r="A673" s="67">
        <v>1</v>
      </c>
      <c r="B673" s="118">
        <f>SUBTOTAL(103,$A$529:A673)</f>
        <v>142</v>
      </c>
      <c r="C673" s="115" t="s">
        <v>434</v>
      </c>
      <c r="D673" s="122">
        <v>1971</v>
      </c>
      <c r="E673" s="127"/>
      <c r="F673" s="127" t="s">
        <v>274</v>
      </c>
      <c r="G673" s="122">
        <v>5</v>
      </c>
      <c r="H673" s="122">
        <v>6</v>
      </c>
      <c r="I673" s="123">
        <v>5077.5</v>
      </c>
      <c r="J673" s="123">
        <v>3712.4</v>
      </c>
      <c r="K673" s="123">
        <v>1549.0700000000002</v>
      </c>
      <c r="L673" s="124">
        <v>164</v>
      </c>
      <c r="M673" s="122" t="s">
        <v>272</v>
      </c>
      <c r="N673" s="122" t="s">
        <v>276</v>
      </c>
      <c r="O673" s="125" t="s">
        <v>338</v>
      </c>
      <c r="P673" s="126">
        <v>8150000</v>
      </c>
      <c r="Q673" s="126">
        <v>0</v>
      </c>
      <c r="R673" s="126">
        <v>0</v>
      </c>
      <c r="S673" s="126">
        <f t="shared" si="191"/>
        <v>8150000</v>
      </c>
      <c r="T673" s="126">
        <f t="shared" si="188"/>
        <v>1605.1206302314131</v>
      </c>
      <c r="U673" s="126">
        <v>2166.4537863121614</v>
      </c>
    </row>
    <row r="674" spans="1:21" s="67" customFormat="1" ht="61.5" x14ac:dyDescent="0.9">
      <c r="A674" s="67">
        <v>1</v>
      </c>
      <c r="B674" s="118">
        <f>SUBTOTAL(103,$A$529:A674)</f>
        <v>143</v>
      </c>
      <c r="C674" s="115" t="s">
        <v>435</v>
      </c>
      <c r="D674" s="122">
        <v>1973</v>
      </c>
      <c r="E674" s="127"/>
      <c r="F674" s="127" t="s">
        <v>334</v>
      </c>
      <c r="G674" s="122">
        <v>2</v>
      </c>
      <c r="H674" s="122">
        <v>2</v>
      </c>
      <c r="I674" s="123">
        <v>816.6</v>
      </c>
      <c r="J674" s="123">
        <v>537.5</v>
      </c>
      <c r="K674" s="123">
        <v>202.60000000000002</v>
      </c>
      <c r="L674" s="124">
        <v>29</v>
      </c>
      <c r="M674" s="122" t="s">
        <v>272</v>
      </c>
      <c r="N674" s="122" t="s">
        <v>276</v>
      </c>
      <c r="O674" s="125" t="s">
        <v>335</v>
      </c>
      <c r="P674" s="126">
        <v>2500000</v>
      </c>
      <c r="Q674" s="126">
        <v>0</v>
      </c>
      <c r="R674" s="126">
        <v>0</v>
      </c>
      <c r="S674" s="126">
        <f t="shared" si="191"/>
        <v>2500000</v>
      </c>
      <c r="T674" s="126">
        <f t="shared" si="188"/>
        <v>3061.4744060739649</v>
      </c>
      <c r="U674" s="126">
        <v>4132.1148665197161</v>
      </c>
    </row>
    <row r="675" spans="1:21" s="67" customFormat="1" ht="61.5" x14ac:dyDescent="0.9">
      <c r="A675" s="67">
        <v>1</v>
      </c>
      <c r="B675" s="118">
        <f>SUBTOTAL(103,$A$529:A675)</f>
        <v>144</v>
      </c>
      <c r="C675" s="115" t="s">
        <v>436</v>
      </c>
      <c r="D675" s="122">
        <v>1954</v>
      </c>
      <c r="E675" s="127"/>
      <c r="F675" s="127" t="s">
        <v>334</v>
      </c>
      <c r="G675" s="122">
        <v>2</v>
      </c>
      <c r="H675" s="122">
        <v>2</v>
      </c>
      <c r="I675" s="123">
        <v>441</v>
      </c>
      <c r="J675" s="123">
        <v>399.8</v>
      </c>
      <c r="K675" s="123">
        <v>310.20000000000005</v>
      </c>
      <c r="L675" s="124">
        <v>28</v>
      </c>
      <c r="M675" s="122" t="s">
        <v>272</v>
      </c>
      <c r="N675" s="122" t="s">
        <v>276</v>
      </c>
      <c r="O675" s="125" t="s">
        <v>335</v>
      </c>
      <c r="P675" s="126">
        <v>2131474</v>
      </c>
      <c r="Q675" s="126">
        <v>0</v>
      </c>
      <c r="R675" s="126">
        <v>0</v>
      </c>
      <c r="S675" s="126">
        <f t="shared" si="191"/>
        <v>2131474</v>
      </c>
      <c r="T675" s="126">
        <f t="shared" si="188"/>
        <v>4833.2743764172337</v>
      </c>
      <c r="U675" s="126">
        <v>6427.2095238095235</v>
      </c>
    </row>
    <row r="676" spans="1:21" s="67" customFormat="1" ht="61.5" x14ac:dyDescent="0.9">
      <c r="A676" s="67">
        <v>1</v>
      </c>
      <c r="B676" s="118">
        <f>SUBTOTAL(103,$A$529:A676)</f>
        <v>145</v>
      </c>
      <c r="C676" s="115" t="s">
        <v>207</v>
      </c>
      <c r="D676" s="122">
        <v>1980</v>
      </c>
      <c r="E676" s="127"/>
      <c r="F676" s="127" t="s">
        <v>274</v>
      </c>
      <c r="G676" s="122">
        <v>2</v>
      </c>
      <c r="H676" s="122">
        <v>3</v>
      </c>
      <c r="I676" s="123">
        <v>962.21999999999991</v>
      </c>
      <c r="J676" s="123">
        <v>875.92</v>
      </c>
      <c r="K676" s="123">
        <v>831.42</v>
      </c>
      <c r="L676" s="124">
        <v>32</v>
      </c>
      <c r="M676" s="122" t="s">
        <v>272</v>
      </c>
      <c r="N676" s="122" t="s">
        <v>276</v>
      </c>
      <c r="O676" s="125" t="s">
        <v>337</v>
      </c>
      <c r="P676" s="126">
        <v>3697950</v>
      </c>
      <c r="Q676" s="126">
        <v>0</v>
      </c>
      <c r="R676" s="126">
        <v>0</v>
      </c>
      <c r="S676" s="126">
        <f t="shared" si="191"/>
        <v>3697950</v>
      </c>
      <c r="T676" s="126">
        <f t="shared" si="188"/>
        <v>3843.143979547297</v>
      </c>
      <c r="U676" s="126">
        <v>4909.479121198895</v>
      </c>
    </row>
    <row r="677" spans="1:21" s="67" customFormat="1" ht="61.5" x14ac:dyDescent="0.9">
      <c r="A677" s="67">
        <v>1</v>
      </c>
      <c r="B677" s="118">
        <f>SUBTOTAL(103,$A$529:A677)</f>
        <v>146</v>
      </c>
      <c r="C677" s="115" t="s">
        <v>209</v>
      </c>
      <c r="D677" s="122">
        <v>1981</v>
      </c>
      <c r="E677" s="127"/>
      <c r="F677" s="127" t="s">
        <v>274</v>
      </c>
      <c r="G677" s="122">
        <v>2</v>
      </c>
      <c r="H677" s="122">
        <v>3</v>
      </c>
      <c r="I677" s="123">
        <v>955.1</v>
      </c>
      <c r="J677" s="123">
        <v>865.5</v>
      </c>
      <c r="K677" s="123">
        <v>865.5</v>
      </c>
      <c r="L677" s="124">
        <v>47</v>
      </c>
      <c r="M677" s="122" t="s">
        <v>272</v>
      </c>
      <c r="N677" s="122" t="s">
        <v>276</v>
      </c>
      <c r="O677" s="125" t="s">
        <v>337</v>
      </c>
      <c r="P677" s="126">
        <v>3680000</v>
      </c>
      <c r="Q677" s="126">
        <v>0</v>
      </c>
      <c r="R677" s="126">
        <v>0</v>
      </c>
      <c r="S677" s="126">
        <f t="shared" si="191"/>
        <v>3680000</v>
      </c>
      <c r="T677" s="126">
        <f t="shared" si="188"/>
        <v>3852.9996858967647</v>
      </c>
      <c r="U677" s="126">
        <v>4910.7487697623283</v>
      </c>
    </row>
    <row r="678" spans="1:21" s="67" customFormat="1" ht="61.5" x14ac:dyDescent="0.9">
      <c r="A678" s="67">
        <v>1</v>
      </c>
      <c r="B678" s="118">
        <f>SUBTOTAL(103,$A$529:A678)</f>
        <v>147</v>
      </c>
      <c r="C678" s="115" t="s">
        <v>208</v>
      </c>
      <c r="D678" s="122">
        <v>1987</v>
      </c>
      <c r="E678" s="127"/>
      <c r="F678" s="127" t="s">
        <v>274</v>
      </c>
      <c r="G678" s="122">
        <v>2</v>
      </c>
      <c r="H678" s="122">
        <v>3</v>
      </c>
      <c r="I678" s="123">
        <v>946.6</v>
      </c>
      <c r="J678" s="123">
        <v>861.5</v>
      </c>
      <c r="K678" s="123">
        <v>797.6</v>
      </c>
      <c r="L678" s="124">
        <v>47</v>
      </c>
      <c r="M678" s="122" t="s">
        <v>272</v>
      </c>
      <c r="N678" s="122" t="s">
        <v>276</v>
      </c>
      <c r="O678" s="125" t="s">
        <v>337</v>
      </c>
      <c r="P678" s="126">
        <v>3519757</v>
      </c>
      <c r="Q678" s="126">
        <v>0</v>
      </c>
      <c r="R678" s="126">
        <v>0</v>
      </c>
      <c r="S678" s="126">
        <f t="shared" si="191"/>
        <v>3519757</v>
      </c>
      <c r="T678" s="126">
        <f t="shared" si="188"/>
        <v>3718.3150221846608</v>
      </c>
      <c r="U678" s="126">
        <v>4748.0959433762937</v>
      </c>
    </row>
    <row r="679" spans="1:21" s="67" customFormat="1" ht="61.5" x14ac:dyDescent="0.9">
      <c r="A679" s="67">
        <v>1</v>
      </c>
      <c r="B679" s="118">
        <f>SUBTOTAL(103,$A$529:A679)</f>
        <v>148</v>
      </c>
      <c r="C679" s="115" t="s">
        <v>437</v>
      </c>
      <c r="D679" s="122">
        <v>1987</v>
      </c>
      <c r="E679" s="127"/>
      <c r="F679" s="127" t="s">
        <v>274</v>
      </c>
      <c r="G679" s="122">
        <v>5</v>
      </c>
      <c r="H679" s="122">
        <v>4</v>
      </c>
      <c r="I679" s="123">
        <v>2928.1</v>
      </c>
      <c r="J679" s="123">
        <v>2613.6</v>
      </c>
      <c r="K679" s="123">
        <v>2388.9</v>
      </c>
      <c r="L679" s="124">
        <v>106</v>
      </c>
      <c r="M679" s="122" t="s">
        <v>272</v>
      </c>
      <c r="N679" s="122" t="s">
        <v>276</v>
      </c>
      <c r="O679" s="125" t="s">
        <v>336</v>
      </c>
      <c r="P679" s="126">
        <v>4125000</v>
      </c>
      <c r="Q679" s="126">
        <v>0</v>
      </c>
      <c r="R679" s="126">
        <v>0</v>
      </c>
      <c r="S679" s="126">
        <f t="shared" si="191"/>
        <v>4125000</v>
      </c>
      <c r="T679" s="126">
        <f t="shared" si="188"/>
        <v>1408.7633619070386</v>
      </c>
      <c r="U679" s="126">
        <v>1901.4276322529968</v>
      </c>
    </row>
    <row r="680" spans="1:21" s="67" customFormat="1" ht="61.5" x14ac:dyDescent="0.9">
      <c r="A680" s="67">
        <v>1</v>
      </c>
      <c r="B680" s="118">
        <f>SUBTOTAL(103,$A$529:A680)</f>
        <v>149</v>
      </c>
      <c r="C680" s="115" t="s">
        <v>438</v>
      </c>
      <c r="D680" s="122">
        <v>1846</v>
      </c>
      <c r="E680" s="127"/>
      <c r="F680" s="127" t="s">
        <v>274</v>
      </c>
      <c r="G680" s="122">
        <v>2</v>
      </c>
      <c r="H680" s="122">
        <v>1</v>
      </c>
      <c r="I680" s="123">
        <v>378.89</v>
      </c>
      <c r="J680" s="123">
        <v>325.39999999999998</v>
      </c>
      <c r="K680" s="123">
        <v>325.39999999999998</v>
      </c>
      <c r="L680" s="124">
        <v>17</v>
      </c>
      <c r="M680" s="122" t="s">
        <v>272</v>
      </c>
      <c r="N680" s="122" t="s">
        <v>273</v>
      </c>
      <c r="O680" s="125" t="s">
        <v>275</v>
      </c>
      <c r="P680" s="126">
        <v>2000000</v>
      </c>
      <c r="Q680" s="126">
        <v>0</v>
      </c>
      <c r="R680" s="126">
        <v>0</v>
      </c>
      <c r="S680" s="126">
        <f t="shared" si="191"/>
        <v>2000000</v>
      </c>
      <c r="T680" s="126">
        <f t="shared" si="188"/>
        <v>5278.576895668928</v>
      </c>
      <c r="U680" s="126">
        <v>6501.1693367468124</v>
      </c>
    </row>
    <row r="681" spans="1:21" s="67" customFormat="1" ht="61.5" x14ac:dyDescent="0.9">
      <c r="A681" s="67">
        <v>1</v>
      </c>
      <c r="B681" s="118">
        <f>SUBTOTAL(103,$A$529:A681)</f>
        <v>150</v>
      </c>
      <c r="C681" s="115" t="s">
        <v>439</v>
      </c>
      <c r="D681" s="122">
        <v>1964</v>
      </c>
      <c r="E681" s="127"/>
      <c r="F681" s="127" t="s">
        <v>274</v>
      </c>
      <c r="G681" s="122">
        <v>3</v>
      </c>
      <c r="H681" s="122">
        <v>2</v>
      </c>
      <c r="I681" s="123">
        <v>1192.79</v>
      </c>
      <c r="J681" s="123">
        <v>1161.32</v>
      </c>
      <c r="K681" s="123">
        <v>1130.3599999999999</v>
      </c>
      <c r="L681" s="124">
        <v>54</v>
      </c>
      <c r="M681" s="122" t="s">
        <v>272</v>
      </c>
      <c r="N681" s="122" t="s">
        <v>276</v>
      </c>
      <c r="O681" s="125" t="s">
        <v>332</v>
      </c>
      <c r="P681" s="126">
        <v>4900000</v>
      </c>
      <c r="Q681" s="126">
        <v>0</v>
      </c>
      <c r="R681" s="126">
        <v>0</v>
      </c>
      <c r="S681" s="126">
        <f t="shared" si="191"/>
        <v>4900000</v>
      </c>
      <c r="T681" s="126">
        <f t="shared" si="188"/>
        <v>4108.0156607617437</v>
      </c>
      <c r="U681" s="126">
        <v>5985.7602595595208</v>
      </c>
    </row>
    <row r="682" spans="1:21" s="67" customFormat="1" ht="61.5" x14ac:dyDescent="0.9">
      <c r="A682" s="67">
        <v>1</v>
      </c>
      <c r="B682" s="118">
        <f>SUBTOTAL(103,$A$529:A682)</f>
        <v>151</v>
      </c>
      <c r="C682" s="115" t="s">
        <v>440</v>
      </c>
      <c r="D682" s="122">
        <v>1941</v>
      </c>
      <c r="E682" s="127"/>
      <c r="F682" s="127" t="s">
        <v>274</v>
      </c>
      <c r="G682" s="122">
        <v>2</v>
      </c>
      <c r="H682" s="122">
        <v>2</v>
      </c>
      <c r="I682" s="123">
        <v>858.1</v>
      </c>
      <c r="J682" s="123">
        <v>655.20000000000005</v>
      </c>
      <c r="K682" s="123">
        <v>655.20000000000005</v>
      </c>
      <c r="L682" s="124">
        <v>20</v>
      </c>
      <c r="M682" s="122" t="s">
        <v>272</v>
      </c>
      <c r="N682" s="122" t="s">
        <v>276</v>
      </c>
      <c r="O682" s="125" t="s">
        <v>335</v>
      </c>
      <c r="P682" s="126">
        <v>3000000</v>
      </c>
      <c r="Q682" s="126">
        <v>0</v>
      </c>
      <c r="R682" s="126">
        <v>0</v>
      </c>
      <c r="S682" s="126">
        <f t="shared" si="191"/>
        <v>3000000</v>
      </c>
      <c r="T682" s="126">
        <f t="shared" si="188"/>
        <v>3496.0960261041837</v>
      </c>
      <c r="U682" s="126">
        <v>4718.7297517771822</v>
      </c>
    </row>
    <row r="683" spans="1:21" s="67" customFormat="1" ht="61.5" x14ac:dyDescent="0.9">
      <c r="A683" s="67">
        <v>1</v>
      </c>
      <c r="B683" s="118">
        <f>SUBTOTAL(103,$A$529:A683)</f>
        <v>152</v>
      </c>
      <c r="C683" s="115" t="s">
        <v>441</v>
      </c>
      <c r="D683" s="122">
        <v>1962</v>
      </c>
      <c r="E683" s="127"/>
      <c r="F683" s="127" t="s">
        <v>334</v>
      </c>
      <c r="G683" s="122">
        <v>2</v>
      </c>
      <c r="H683" s="122">
        <v>2</v>
      </c>
      <c r="I683" s="123">
        <v>590.99</v>
      </c>
      <c r="J683" s="123">
        <v>407.09</v>
      </c>
      <c r="K683" s="123">
        <v>407.09</v>
      </c>
      <c r="L683" s="124">
        <v>22</v>
      </c>
      <c r="M683" s="122" t="s">
        <v>272</v>
      </c>
      <c r="N683" s="122" t="s">
        <v>276</v>
      </c>
      <c r="O683" s="125" t="s">
        <v>338</v>
      </c>
      <c r="P683" s="126">
        <v>2310000</v>
      </c>
      <c r="Q683" s="126">
        <v>0</v>
      </c>
      <c r="R683" s="126">
        <v>0</v>
      </c>
      <c r="S683" s="126">
        <f t="shared" si="191"/>
        <v>2310000</v>
      </c>
      <c r="T683" s="126">
        <f t="shared" si="188"/>
        <v>3908.6955786053909</v>
      </c>
      <c r="U683" s="126">
        <v>5275.6211441817959</v>
      </c>
    </row>
    <row r="684" spans="1:21" s="67" customFormat="1" ht="61.5" x14ac:dyDescent="0.9">
      <c r="A684" s="67">
        <v>1</v>
      </c>
      <c r="B684" s="118">
        <f>SUBTOTAL(103,$A$529:A684)</f>
        <v>153</v>
      </c>
      <c r="C684" s="115" t="s">
        <v>442</v>
      </c>
      <c r="D684" s="122">
        <v>1959</v>
      </c>
      <c r="E684" s="127"/>
      <c r="F684" s="127" t="s">
        <v>274</v>
      </c>
      <c r="G684" s="122">
        <v>3</v>
      </c>
      <c r="H684" s="122">
        <v>4</v>
      </c>
      <c r="I684" s="123">
        <v>2095.6</v>
      </c>
      <c r="J684" s="123">
        <v>1915.7</v>
      </c>
      <c r="K684" s="123">
        <v>1915.7</v>
      </c>
      <c r="L684" s="124">
        <v>69</v>
      </c>
      <c r="M684" s="122" t="s">
        <v>272</v>
      </c>
      <c r="N684" s="122" t="s">
        <v>276</v>
      </c>
      <c r="O684" s="125" t="s">
        <v>335</v>
      </c>
      <c r="P684" s="126">
        <v>150000</v>
      </c>
      <c r="Q684" s="126">
        <v>0</v>
      </c>
      <c r="R684" s="126">
        <v>0</v>
      </c>
      <c r="S684" s="126">
        <f t="shared" si="191"/>
        <v>150000</v>
      </c>
      <c r="T684" s="126">
        <f t="shared" si="188"/>
        <v>71.578545523954958</v>
      </c>
      <c r="U684" s="126">
        <f t="shared" ref="U684:U710" si="192">T684</f>
        <v>71.578545523954958</v>
      </c>
    </row>
    <row r="685" spans="1:21" s="67" customFormat="1" ht="61.5" x14ac:dyDescent="0.9">
      <c r="A685" s="67">
        <v>1</v>
      </c>
      <c r="B685" s="118">
        <f>SUBTOTAL(103,$A$529:A685)</f>
        <v>154</v>
      </c>
      <c r="C685" s="115" t="s">
        <v>443</v>
      </c>
      <c r="D685" s="122">
        <v>1989</v>
      </c>
      <c r="E685" s="127"/>
      <c r="F685" s="127" t="s">
        <v>274</v>
      </c>
      <c r="G685" s="122">
        <v>5</v>
      </c>
      <c r="H685" s="122">
        <v>3</v>
      </c>
      <c r="I685" s="123">
        <v>2042.1</v>
      </c>
      <c r="J685" s="123">
        <v>1708.9</v>
      </c>
      <c r="K685" s="123">
        <v>1675.9</v>
      </c>
      <c r="L685" s="124">
        <v>86</v>
      </c>
      <c r="M685" s="122" t="s">
        <v>272</v>
      </c>
      <c r="N685" s="122" t="s">
        <v>276</v>
      </c>
      <c r="O685" s="125" t="s">
        <v>1061</v>
      </c>
      <c r="P685" s="126">
        <v>150000</v>
      </c>
      <c r="Q685" s="126">
        <v>0</v>
      </c>
      <c r="R685" s="126">
        <v>0</v>
      </c>
      <c r="S685" s="126">
        <f t="shared" si="191"/>
        <v>150000</v>
      </c>
      <c r="T685" s="126">
        <f t="shared" si="188"/>
        <v>73.453797561333928</v>
      </c>
      <c r="U685" s="126">
        <f t="shared" si="192"/>
        <v>73.453797561333928</v>
      </c>
    </row>
    <row r="686" spans="1:21" s="67" customFormat="1" ht="61.5" x14ac:dyDescent="0.9">
      <c r="A686" s="67">
        <v>1</v>
      </c>
      <c r="B686" s="118">
        <f>SUBTOTAL(103,$A$529:A686)</f>
        <v>155</v>
      </c>
      <c r="C686" s="115" t="s">
        <v>444</v>
      </c>
      <c r="D686" s="122">
        <v>1972</v>
      </c>
      <c r="E686" s="127"/>
      <c r="F686" s="127" t="s">
        <v>274</v>
      </c>
      <c r="G686" s="122">
        <v>5</v>
      </c>
      <c r="H686" s="122">
        <v>4</v>
      </c>
      <c r="I686" s="123">
        <v>3577.12</v>
      </c>
      <c r="J686" s="123">
        <v>3193.8</v>
      </c>
      <c r="K686" s="123">
        <v>2940.98</v>
      </c>
      <c r="L686" s="124">
        <v>152</v>
      </c>
      <c r="M686" s="122" t="s">
        <v>272</v>
      </c>
      <c r="N686" s="122" t="s">
        <v>276</v>
      </c>
      <c r="O686" s="125" t="s">
        <v>338</v>
      </c>
      <c r="P686" s="126">
        <v>180000</v>
      </c>
      <c r="Q686" s="126">
        <v>0</v>
      </c>
      <c r="R686" s="126">
        <v>0</v>
      </c>
      <c r="S686" s="126">
        <f t="shared" si="191"/>
        <v>180000</v>
      </c>
      <c r="T686" s="126">
        <f t="shared" si="188"/>
        <v>50.319810350225879</v>
      </c>
      <c r="U686" s="126">
        <f t="shared" si="192"/>
        <v>50.319810350225879</v>
      </c>
    </row>
    <row r="687" spans="1:21" s="67" customFormat="1" ht="61.5" x14ac:dyDescent="0.9">
      <c r="A687" s="67">
        <v>1</v>
      </c>
      <c r="B687" s="118">
        <f>SUBTOTAL(103,$A$529:A687)</f>
        <v>156</v>
      </c>
      <c r="C687" s="115" t="s">
        <v>445</v>
      </c>
      <c r="D687" s="122">
        <v>1955</v>
      </c>
      <c r="E687" s="127"/>
      <c r="F687" s="127" t="s">
        <v>274</v>
      </c>
      <c r="G687" s="122">
        <v>2</v>
      </c>
      <c r="H687" s="122">
        <v>3</v>
      </c>
      <c r="I687" s="123">
        <v>1501.5</v>
      </c>
      <c r="J687" s="123">
        <v>1386.8</v>
      </c>
      <c r="K687" s="123">
        <v>1250.54</v>
      </c>
      <c r="L687" s="124">
        <v>57</v>
      </c>
      <c r="M687" s="122" t="s">
        <v>272</v>
      </c>
      <c r="N687" s="122" t="s">
        <v>276</v>
      </c>
      <c r="O687" s="125" t="s">
        <v>338</v>
      </c>
      <c r="P687" s="126">
        <v>200000</v>
      </c>
      <c r="Q687" s="126">
        <v>0</v>
      </c>
      <c r="R687" s="126">
        <v>0</v>
      </c>
      <c r="S687" s="126">
        <f t="shared" si="191"/>
        <v>200000</v>
      </c>
      <c r="T687" s="126">
        <f t="shared" si="188"/>
        <v>133.20013320013319</v>
      </c>
      <c r="U687" s="126">
        <f t="shared" si="192"/>
        <v>133.20013320013319</v>
      </c>
    </row>
    <row r="688" spans="1:21" s="67" customFormat="1" ht="61.5" x14ac:dyDescent="0.9">
      <c r="A688" s="67">
        <v>1</v>
      </c>
      <c r="B688" s="118">
        <f>SUBTOTAL(103,$A$529:A688)</f>
        <v>157</v>
      </c>
      <c r="C688" s="115" t="s">
        <v>446</v>
      </c>
      <c r="D688" s="122">
        <v>1961</v>
      </c>
      <c r="E688" s="127"/>
      <c r="F688" s="127" t="s">
        <v>274</v>
      </c>
      <c r="G688" s="122">
        <v>2</v>
      </c>
      <c r="H688" s="122">
        <v>1</v>
      </c>
      <c r="I688" s="123">
        <v>646.49</v>
      </c>
      <c r="J688" s="123">
        <v>588.49</v>
      </c>
      <c r="K688" s="123">
        <v>588.49</v>
      </c>
      <c r="L688" s="124">
        <v>29</v>
      </c>
      <c r="M688" s="122" t="s">
        <v>272</v>
      </c>
      <c r="N688" s="122" t="s">
        <v>273</v>
      </c>
      <c r="O688" s="125" t="s">
        <v>275</v>
      </c>
      <c r="P688" s="126">
        <v>150000</v>
      </c>
      <c r="Q688" s="126">
        <v>0</v>
      </c>
      <c r="R688" s="126">
        <v>0</v>
      </c>
      <c r="S688" s="126">
        <f t="shared" si="191"/>
        <v>150000</v>
      </c>
      <c r="T688" s="126">
        <f t="shared" si="188"/>
        <v>232.02215038128972</v>
      </c>
      <c r="U688" s="126">
        <f t="shared" si="192"/>
        <v>232.02215038128972</v>
      </c>
    </row>
    <row r="689" spans="1:21" s="67" customFormat="1" ht="61.5" x14ac:dyDescent="0.9">
      <c r="A689" s="67">
        <v>1</v>
      </c>
      <c r="B689" s="118">
        <f>SUBTOTAL(103,$A$529:A689)</f>
        <v>158</v>
      </c>
      <c r="C689" s="115" t="s">
        <v>447</v>
      </c>
      <c r="D689" s="122">
        <v>1969</v>
      </c>
      <c r="E689" s="127"/>
      <c r="F689" s="127" t="s">
        <v>274</v>
      </c>
      <c r="G689" s="122">
        <v>5</v>
      </c>
      <c r="H689" s="122">
        <v>6</v>
      </c>
      <c r="I689" s="123">
        <v>4890.1099999999997</v>
      </c>
      <c r="J689" s="123">
        <v>4432.68</v>
      </c>
      <c r="K689" s="123">
        <v>4177.2300000000005</v>
      </c>
      <c r="L689" s="124">
        <v>212</v>
      </c>
      <c r="M689" s="122" t="s">
        <v>272</v>
      </c>
      <c r="N689" s="122" t="s">
        <v>276</v>
      </c>
      <c r="O689" s="125" t="s">
        <v>331</v>
      </c>
      <c r="P689" s="126">
        <v>180000</v>
      </c>
      <c r="Q689" s="126">
        <v>0</v>
      </c>
      <c r="R689" s="126">
        <v>0</v>
      </c>
      <c r="S689" s="126">
        <f t="shared" si="191"/>
        <v>180000</v>
      </c>
      <c r="T689" s="126">
        <f t="shared" si="188"/>
        <v>36.808987936876676</v>
      </c>
      <c r="U689" s="126">
        <f t="shared" si="192"/>
        <v>36.808987936876676</v>
      </c>
    </row>
    <row r="690" spans="1:21" s="67" customFormat="1" ht="61.5" x14ac:dyDescent="0.9">
      <c r="A690" s="67">
        <v>1</v>
      </c>
      <c r="B690" s="118">
        <f>SUBTOTAL(103,$A$529:A690)</f>
        <v>159</v>
      </c>
      <c r="C690" s="115" t="s">
        <v>448</v>
      </c>
      <c r="D690" s="122">
        <v>1961</v>
      </c>
      <c r="E690" s="127"/>
      <c r="F690" s="127" t="s">
        <v>274</v>
      </c>
      <c r="G690" s="122">
        <v>2</v>
      </c>
      <c r="H690" s="122">
        <v>2</v>
      </c>
      <c r="I690" s="123">
        <v>824.68999999999994</v>
      </c>
      <c r="J690" s="123">
        <v>778.39</v>
      </c>
      <c r="K690" s="123">
        <v>728.73</v>
      </c>
      <c r="L690" s="124">
        <v>49</v>
      </c>
      <c r="M690" s="122" t="s">
        <v>272</v>
      </c>
      <c r="N690" s="122" t="s">
        <v>276</v>
      </c>
      <c r="O690" s="125" t="s">
        <v>335</v>
      </c>
      <c r="P690" s="126">
        <v>150000</v>
      </c>
      <c r="Q690" s="126">
        <v>0</v>
      </c>
      <c r="R690" s="126">
        <v>0</v>
      </c>
      <c r="S690" s="126">
        <f t="shared" si="191"/>
        <v>150000</v>
      </c>
      <c r="T690" s="126">
        <f t="shared" si="188"/>
        <v>181.88652705865235</v>
      </c>
      <c r="U690" s="126">
        <f t="shared" si="192"/>
        <v>181.88652705865235</v>
      </c>
    </row>
    <row r="691" spans="1:21" s="67" customFormat="1" ht="61.5" x14ac:dyDescent="0.9">
      <c r="A691" s="67">
        <v>1</v>
      </c>
      <c r="B691" s="118">
        <f>SUBTOTAL(103,$A$529:A691)</f>
        <v>160</v>
      </c>
      <c r="C691" s="115" t="s">
        <v>449</v>
      </c>
      <c r="D691" s="122">
        <v>1980</v>
      </c>
      <c r="E691" s="127"/>
      <c r="F691" s="127" t="s">
        <v>274</v>
      </c>
      <c r="G691" s="122">
        <v>5</v>
      </c>
      <c r="H691" s="122">
        <v>2</v>
      </c>
      <c r="I691" s="123">
        <v>1589.4</v>
      </c>
      <c r="J691" s="123">
        <v>1176.4000000000001</v>
      </c>
      <c r="K691" s="123">
        <v>1117.8000000000002</v>
      </c>
      <c r="L691" s="124">
        <v>65</v>
      </c>
      <c r="M691" s="122" t="s">
        <v>272</v>
      </c>
      <c r="N691" s="122" t="s">
        <v>276</v>
      </c>
      <c r="O691" s="125" t="s">
        <v>335</v>
      </c>
      <c r="P691" s="126">
        <v>120000</v>
      </c>
      <c r="Q691" s="126">
        <v>0</v>
      </c>
      <c r="R691" s="126">
        <v>0</v>
      </c>
      <c r="S691" s="126">
        <f t="shared" si="191"/>
        <v>120000</v>
      </c>
      <c r="T691" s="126">
        <f t="shared" si="188"/>
        <v>75.500188750471878</v>
      </c>
      <c r="U691" s="126">
        <f t="shared" si="192"/>
        <v>75.500188750471878</v>
      </c>
    </row>
    <row r="692" spans="1:21" s="67" customFormat="1" ht="61.5" x14ac:dyDescent="0.9">
      <c r="A692" s="67">
        <v>1</v>
      </c>
      <c r="B692" s="118">
        <f>SUBTOTAL(103,$A$529:A692)</f>
        <v>161</v>
      </c>
      <c r="C692" s="115" t="s">
        <v>210</v>
      </c>
      <c r="D692" s="122">
        <v>1983</v>
      </c>
      <c r="E692" s="127"/>
      <c r="F692" s="127" t="s">
        <v>274</v>
      </c>
      <c r="G692" s="122">
        <v>5</v>
      </c>
      <c r="H692" s="122">
        <v>4</v>
      </c>
      <c r="I692" s="123">
        <v>3097.1</v>
      </c>
      <c r="J692" s="123">
        <v>2810.6</v>
      </c>
      <c r="K692" s="123">
        <v>2810.6</v>
      </c>
      <c r="L692" s="124">
        <v>127</v>
      </c>
      <c r="M692" s="122" t="s">
        <v>272</v>
      </c>
      <c r="N692" s="122" t="s">
        <v>276</v>
      </c>
      <c r="O692" s="125" t="s">
        <v>1061</v>
      </c>
      <c r="P692" s="126">
        <v>150000</v>
      </c>
      <c r="Q692" s="126">
        <v>0</v>
      </c>
      <c r="R692" s="126">
        <v>0</v>
      </c>
      <c r="S692" s="126">
        <f t="shared" si="191"/>
        <v>150000</v>
      </c>
      <c r="T692" s="126">
        <f t="shared" si="188"/>
        <v>48.432404507442449</v>
      </c>
      <c r="U692" s="126">
        <f t="shared" si="192"/>
        <v>48.432404507442449</v>
      </c>
    </row>
    <row r="693" spans="1:21" s="67" customFormat="1" ht="61.5" x14ac:dyDescent="0.9">
      <c r="A693" s="67">
        <v>1</v>
      </c>
      <c r="B693" s="118">
        <f>SUBTOTAL(103,$A$529:A693)</f>
        <v>162</v>
      </c>
      <c r="C693" s="115" t="s">
        <v>211</v>
      </c>
      <c r="D693" s="122">
        <v>1963</v>
      </c>
      <c r="E693" s="127"/>
      <c r="F693" s="127" t="s">
        <v>274</v>
      </c>
      <c r="G693" s="122">
        <v>2</v>
      </c>
      <c r="H693" s="122">
        <v>2</v>
      </c>
      <c r="I693" s="123">
        <v>490.8</v>
      </c>
      <c r="J693" s="123">
        <v>442.2</v>
      </c>
      <c r="K693" s="123">
        <v>442.2</v>
      </c>
      <c r="L693" s="124">
        <v>19</v>
      </c>
      <c r="M693" s="122" t="s">
        <v>272</v>
      </c>
      <c r="N693" s="122" t="s">
        <v>276</v>
      </c>
      <c r="O693" s="125" t="s">
        <v>336</v>
      </c>
      <c r="P693" s="126">
        <v>70000</v>
      </c>
      <c r="Q693" s="126">
        <v>0</v>
      </c>
      <c r="R693" s="126">
        <v>0</v>
      </c>
      <c r="S693" s="126">
        <f t="shared" si="191"/>
        <v>70000</v>
      </c>
      <c r="T693" s="126">
        <f t="shared" si="188"/>
        <v>142.62428687856561</v>
      </c>
      <c r="U693" s="126">
        <f t="shared" si="192"/>
        <v>142.62428687856561</v>
      </c>
    </row>
    <row r="694" spans="1:21" s="67" customFormat="1" ht="61.5" x14ac:dyDescent="0.9">
      <c r="A694" s="67">
        <v>1</v>
      </c>
      <c r="B694" s="118">
        <f>SUBTOTAL(103,$A$529:A694)</f>
        <v>163</v>
      </c>
      <c r="C694" s="115" t="s">
        <v>212</v>
      </c>
      <c r="D694" s="122">
        <v>1969</v>
      </c>
      <c r="E694" s="127"/>
      <c r="F694" s="127" t="s">
        <v>274</v>
      </c>
      <c r="G694" s="122">
        <v>2</v>
      </c>
      <c r="H694" s="122">
        <v>2</v>
      </c>
      <c r="I694" s="123">
        <v>640.40000000000009</v>
      </c>
      <c r="J694" s="123">
        <v>589.20000000000005</v>
      </c>
      <c r="K694" s="123">
        <v>537.5</v>
      </c>
      <c r="L694" s="124">
        <v>31</v>
      </c>
      <c r="M694" s="122" t="s">
        <v>272</v>
      </c>
      <c r="N694" s="122" t="s">
        <v>276</v>
      </c>
      <c r="O694" s="125" t="s">
        <v>336</v>
      </c>
      <c r="P694" s="126">
        <v>70000</v>
      </c>
      <c r="Q694" s="126">
        <v>0</v>
      </c>
      <c r="R694" s="126">
        <v>0</v>
      </c>
      <c r="S694" s="126">
        <f t="shared" si="191"/>
        <v>70000</v>
      </c>
      <c r="T694" s="126">
        <f t="shared" si="188"/>
        <v>109.30668332292316</v>
      </c>
      <c r="U694" s="126">
        <f t="shared" si="192"/>
        <v>109.30668332292316</v>
      </c>
    </row>
    <row r="695" spans="1:21" s="67" customFormat="1" ht="61.5" x14ac:dyDescent="0.9">
      <c r="A695" s="67">
        <v>1</v>
      </c>
      <c r="B695" s="118">
        <f>SUBTOTAL(103,$A$529:A695)</f>
        <v>164</v>
      </c>
      <c r="C695" s="115" t="s">
        <v>213</v>
      </c>
      <c r="D695" s="122">
        <v>1966</v>
      </c>
      <c r="E695" s="127"/>
      <c r="F695" s="127" t="s">
        <v>274</v>
      </c>
      <c r="G695" s="122">
        <v>2</v>
      </c>
      <c r="H695" s="122">
        <v>2</v>
      </c>
      <c r="I695" s="123">
        <v>781.6</v>
      </c>
      <c r="J695" s="123">
        <v>719.9</v>
      </c>
      <c r="K695" s="123">
        <v>670.3</v>
      </c>
      <c r="L695" s="124">
        <v>25</v>
      </c>
      <c r="M695" s="122" t="s">
        <v>272</v>
      </c>
      <c r="N695" s="122" t="s">
        <v>276</v>
      </c>
      <c r="O695" s="125" t="s">
        <v>336</v>
      </c>
      <c r="P695" s="126">
        <v>70000</v>
      </c>
      <c r="Q695" s="126">
        <v>0</v>
      </c>
      <c r="R695" s="126">
        <v>0</v>
      </c>
      <c r="S695" s="126">
        <f t="shared" si="191"/>
        <v>70000</v>
      </c>
      <c r="T695" s="126">
        <f t="shared" si="188"/>
        <v>89.559877175025591</v>
      </c>
      <c r="U695" s="126">
        <f t="shared" si="192"/>
        <v>89.559877175025591</v>
      </c>
    </row>
    <row r="696" spans="1:21" s="67" customFormat="1" ht="61.5" x14ac:dyDescent="0.9">
      <c r="A696" s="67">
        <v>1</v>
      </c>
      <c r="B696" s="118">
        <f>SUBTOTAL(103,$A$529:A696)</f>
        <v>165</v>
      </c>
      <c r="C696" s="115" t="s">
        <v>450</v>
      </c>
      <c r="D696" s="122">
        <v>1963</v>
      </c>
      <c r="E696" s="127"/>
      <c r="F696" s="127" t="s">
        <v>274</v>
      </c>
      <c r="G696" s="122">
        <v>4</v>
      </c>
      <c r="H696" s="122">
        <v>3</v>
      </c>
      <c r="I696" s="123">
        <v>2141.94</v>
      </c>
      <c r="J696" s="123">
        <v>1753.08</v>
      </c>
      <c r="K696" s="123">
        <v>1544.6799999999998</v>
      </c>
      <c r="L696" s="124">
        <v>61</v>
      </c>
      <c r="M696" s="122" t="s">
        <v>272</v>
      </c>
      <c r="N696" s="122" t="s">
        <v>276</v>
      </c>
      <c r="O696" s="125" t="s">
        <v>1061</v>
      </c>
      <c r="P696" s="126">
        <v>180000</v>
      </c>
      <c r="Q696" s="126">
        <v>0</v>
      </c>
      <c r="R696" s="126">
        <v>0</v>
      </c>
      <c r="S696" s="126">
        <f t="shared" si="191"/>
        <v>180000</v>
      </c>
      <c r="T696" s="126">
        <f t="shared" si="188"/>
        <v>84.035967394044647</v>
      </c>
      <c r="U696" s="126">
        <f t="shared" si="192"/>
        <v>84.035967394044647</v>
      </c>
    </row>
    <row r="697" spans="1:21" s="67" customFormat="1" ht="61.5" x14ac:dyDescent="0.9">
      <c r="A697" s="67">
        <v>1</v>
      </c>
      <c r="B697" s="118">
        <f>SUBTOTAL(103,$A$529:A697)</f>
        <v>166</v>
      </c>
      <c r="C697" s="115" t="s">
        <v>451</v>
      </c>
      <c r="D697" s="122">
        <v>1974</v>
      </c>
      <c r="E697" s="127"/>
      <c r="F697" s="127" t="s">
        <v>274</v>
      </c>
      <c r="G697" s="122">
        <v>9</v>
      </c>
      <c r="H697" s="122">
        <v>2</v>
      </c>
      <c r="I697" s="123">
        <v>5409.4</v>
      </c>
      <c r="J697" s="123">
        <v>4377.3999999999996</v>
      </c>
      <c r="K697" s="123">
        <v>4227.7</v>
      </c>
      <c r="L697" s="124">
        <v>190</v>
      </c>
      <c r="M697" s="122" t="s">
        <v>272</v>
      </c>
      <c r="N697" s="122" t="s">
        <v>276</v>
      </c>
      <c r="O697" s="125" t="s">
        <v>1061</v>
      </c>
      <c r="P697" s="126">
        <v>100000</v>
      </c>
      <c r="Q697" s="126">
        <v>0</v>
      </c>
      <c r="R697" s="126">
        <v>0</v>
      </c>
      <c r="S697" s="126">
        <f t="shared" si="191"/>
        <v>100000</v>
      </c>
      <c r="T697" s="126">
        <f t="shared" si="188"/>
        <v>18.48633859577772</v>
      </c>
      <c r="U697" s="126">
        <f t="shared" si="192"/>
        <v>18.48633859577772</v>
      </c>
    </row>
    <row r="698" spans="1:21" s="67" customFormat="1" ht="61.5" x14ac:dyDescent="0.9">
      <c r="A698" s="67">
        <v>1</v>
      </c>
      <c r="B698" s="118">
        <f>SUBTOTAL(103,$A$529:A698)</f>
        <v>167</v>
      </c>
      <c r="C698" s="115" t="s">
        <v>452</v>
      </c>
      <c r="D698" s="122">
        <v>1958</v>
      </c>
      <c r="E698" s="127"/>
      <c r="F698" s="127" t="s">
        <v>274</v>
      </c>
      <c r="G698" s="122">
        <v>2</v>
      </c>
      <c r="H698" s="122">
        <v>2</v>
      </c>
      <c r="I698" s="123">
        <v>717.8</v>
      </c>
      <c r="J698" s="123">
        <v>649.4</v>
      </c>
      <c r="K698" s="123">
        <v>507.29999999999995</v>
      </c>
      <c r="L698" s="124">
        <v>47</v>
      </c>
      <c r="M698" s="122" t="s">
        <v>272</v>
      </c>
      <c r="N698" s="122" t="s">
        <v>276</v>
      </c>
      <c r="O698" s="125" t="s">
        <v>335</v>
      </c>
      <c r="P698" s="126">
        <v>150000</v>
      </c>
      <c r="Q698" s="126">
        <v>0</v>
      </c>
      <c r="R698" s="126">
        <v>0</v>
      </c>
      <c r="S698" s="126">
        <f t="shared" si="191"/>
        <v>150000</v>
      </c>
      <c r="T698" s="126">
        <f t="shared" si="188"/>
        <v>208.97185845639456</v>
      </c>
      <c r="U698" s="126">
        <f t="shared" si="192"/>
        <v>208.97185845639456</v>
      </c>
    </row>
    <row r="699" spans="1:21" s="67" customFormat="1" ht="61.5" x14ac:dyDescent="0.9">
      <c r="A699" s="67">
        <v>1</v>
      </c>
      <c r="B699" s="118">
        <f>SUBTOTAL(103,$A$529:A699)</f>
        <v>168</v>
      </c>
      <c r="C699" s="115" t="s">
        <v>453</v>
      </c>
      <c r="D699" s="122">
        <v>1956</v>
      </c>
      <c r="E699" s="127"/>
      <c r="F699" s="127" t="s">
        <v>334</v>
      </c>
      <c r="G699" s="122">
        <v>2</v>
      </c>
      <c r="H699" s="122">
        <v>3</v>
      </c>
      <c r="I699" s="123">
        <v>1239.2</v>
      </c>
      <c r="J699" s="123">
        <v>932.1</v>
      </c>
      <c r="K699" s="123">
        <v>643.79999999999995</v>
      </c>
      <c r="L699" s="124">
        <v>44</v>
      </c>
      <c r="M699" s="122" t="s">
        <v>272</v>
      </c>
      <c r="N699" s="122" t="s">
        <v>276</v>
      </c>
      <c r="O699" s="125" t="s">
        <v>331</v>
      </c>
      <c r="P699" s="126">
        <v>150000</v>
      </c>
      <c r="Q699" s="126">
        <v>0</v>
      </c>
      <c r="R699" s="126">
        <v>0</v>
      </c>
      <c r="S699" s="126">
        <f t="shared" si="191"/>
        <v>150000</v>
      </c>
      <c r="T699" s="126">
        <f t="shared" si="188"/>
        <v>121.0458360232408</v>
      </c>
      <c r="U699" s="126">
        <f t="shared" si="192"/>
        <v>121.0458360232408</v>
      </c>
    </row>
    <row r="700" spans="1:21" s="67" customFormat="1" ht="61.5" x14ac:dyDescent="0.9">
      <c r="A700" s="67">
        <v>1</v>
      </c>
      <c r="B700" s="118">
        <f>SUBTOTAL(103,$A$529:A700)</f>
        <v>169</v>
      </c>
      <c r="C700" s="115" t="s">
        <v>454</v>
      </c>
      <c r="D700" s="122">
        <v>1968</v>
      </c>
      <c r="E700" s="127"/>
      <c r="F700" s="127" t="s">
        <v>274</v>
      </c>
      <c r="G700" s="122">
        <v>3</v>
      </c>
      <c r="H700" s="122">
        <v>2</v>
      </c>
      <c r="I700" s="123">
        <v>1032.5</v>
      </c>
      <c r="J700" s="123">
        <v>644</v>
      </c>
      <c r="K700" s="123">
        <v>445.9</v>
      </c>
      <c r="L700" s="124">
        <v>76</v>
      </c>
      <c r="M700" s="122" t="s">
        <v>272</v>
      </c>
      <c r="N700" s="122" t="s">
        <v>276</v>
      </c>
      <c r="O700" s="125" t="s">
        <v>338</v>
      </c>
      <c r="P700" s="126">
        <v>120000</v>
      </c>
      <c r="Q700" s="126">
        <v>0</v>
      </c>
      <c r="R700" s="126">
        <v>0</v>
      </c>
      <c r="S700" s="126">
        <f t="shared" si="191"/>
        <v>120000</v>
      </c>
      <c r="T700" s="126">
        <f t="shared" si="188"/>
        <v>116.22276029055691</v>
      </c>
      <c r="U700" s="126">
        <f t="shared" si="192"/>
        <v>116.22276029055691</v>
      </c>
    </row>
    <row r="701" spans="1:21" s="67" customFormat="1" ht="61.5" x14ac:dyDescent="0.9">
      <c r="A701" s="67">
        <v>1</v>
      </c>
      <c r="B701" s="118">
        <f>SUBTOTAL(103,$A$529:A701)</f>
        <v>170</v>
      </c>
      <c r="C701" s="115" t="s">
        <v>455</v>
      </c>
      <c r="D701" s="122">
        <v>1969</v>
      </c>
      <c r="E701" s="127"/>
      <c r="F701" s="127" t="s">
        <v>274</v>
      </c>
      <c r="G701" s="122">
        <v>5</v>
      </c>
      <c r="H701" s="122">
        <v>6</v>
      </c>
      <c r="I701" s="123">
        <v>5048.3000000000011</v>
      </c>
      <c r="J701" s="123">
        <v>4487.6000000000004</v>
      </c>
      <c r="K701" s="123">
        <v>3957.13</v>
      </c>
      <c r="L701" s="124">
        <v>204</v>
      </c>
      <c r="M701" s="122" t="s">
        <v>272</v>
      </c>
      <c r="N701" s="122" t="s">
        <v>276</v>
      </c>
      <c r="O701" s="125" t="s">
        <v>338</v>
      </c>
      <c r="P701" s="126">
        <v>180000</v>
      </c>
      <c r="Q701" s="126">
        <v>0</v>
      </c>
      <c r="R701" s="126">
        <v>0</v>
      </c>
      <c r="S701" s="126">
        <f t="shared" si="191"/>
        <v>180000</v>
      </c>
      <c r="T701" s="126">
        <f t="shared" si="188"/>
        <v>35.655567220648528</v>
      </c>
      <c r="U701" s="126">
        <f t="shared" si="192"/>
        <v>35.655567220648528</v>
      </c>
    </row>
    <row r="702" spans="1:21" s="67" customFormat="1" ht="61.5" x14ac:dyDescent="0.9">
      <c r="A702" s="67">
        <v>1</v>
      </c>
      <c r="B702" s="118">
        <f>SUBTOTAL(103,$A$529:A702)</f>
        <v>171</v>
      </c>
      <c r="C702" s="115" t="s">
        <v>456</v>
      </c>
      <c r="D702" s="122">
        <v>1943</v>
      </c>
      <c r="E702" s="127"/>
      <c r="F702" s="127" t="s">
        <v>274</v>
      </c>
      <c r="G702" s="122">
        <v>2</v>
      </c>
      <c r="H702" s="122">
        <v>2</v>
      </c>
      <c r="I702" s="123">
        <v>715.9</v>
      </c>
      <c r="J702" s="123">
        <v>646.9</v>
      </c>
      <c r="K702" s="123">
        <v>547.55999999999995</v>
      </c>
      <c r="L702" s="124">
        <v>35</v>
      </c>
      <c r="M702" s="122" t="s">
        <v>272</v>
      </c>
      <c r="N702" s="122" t="s">
        <v>276</v>
      </c>
      <c r="O702" s="125" t="s">
        <v>335</v>
      </c>
      <c r="P702" s="126">
        <v>150000</v>
      </c>
      <c r="Q702" s="126">
        <v>0</v>
      </c>
      <c r="R702" s="126">
        <v>0</v>
      </c>
      <c r="S702" s="126">
        <f t="shared" si="191"/>
        <v>150000</v>
      </c>
      <c r="T702" s="126">
        <f t="shared" si="188"/>
        <v>209.52647017739909</v>
      </c>
      <c r="U702" s="126">
        <f t="shared" si="192"/>
        <v>209.52647017739909</v>
      </c>
    </row>
    <row r="703" spans="1:21" s="67" customFormat="1" ht="61.5" x14ac:dyDescent="0.9">
      <c r="A703" s="67">
        <v>1</v>
      </c>
      <c r="B703" s="118">
        <f>SUBTOTAL(103,$A$529:A703)</f>
        <v>172</v>
      </c>
      <c r="C703" s="115" t="s">
        <v>457</v>
      </c>
      <c r="D703" s="122">
        <v>1917</v>
      </c>
      <c r="E703" s="127"/>
      <c r="F703" s="127" t="s">
        <v>340</v>
      </c>
      <c r="G703" s="122">
        <v>2</v>
      </c>
      <c r="H703" s="122">
        <v>2</v>
      </c>
      <c r="I703" s="123">
        <v>643.4</v>
      </c>
      <c r="J703" s="123">
        <v>521.79999999999995</v>
      </c>
      <c r="K703" s="123">
        <v>423.09999999999997</v>
      </c>
      <c r="L703" s="124">
        <v>21</v>
      </c>
      <c r="M703" s="122" t="s">
        <v>272</v>
      </c>
      <c r="N703" s="122" t="s">
        <v>276</v>
      </c>
      <c r="O703" s="125" t="s">
        <v>331</v>
      </c>
      <c r="P703" s="126">
        <v>120000</v>
      </c>
      <c r="Q703" s="126">
        <v>0</v>
      </c>
      <c r="R703" s="126">
        <v>0</v>
      </c>
      <c r="S703" s="126">
        <f t="shared" si="191"/>
        <v>120000</v>
      </c>
      <c r="T703" s="126">
        <f t="shared" si="188"/>
        <v>186.50917003419335</v>
      </c>
      <c r="U703" s="126">
        <f t="shared" si="192"/>
        <v>186.50917003419335</v>
      </c>
    </row>
    <row r="704" spans="1:21" s="67" customFormat="1" ht="61.5" x14ac:dyDescent="0.9">
      <c r="A704" s="67">
        <v>1</v>
      </c>
      <c r="B704" s="118">
        <f>SUBTOTAL(103,$A$529:A704)</f>
        <v>173</v>
      </c>
      <c r="C704" s="115" t="s">
        <v>215</v>
      </c>
      <c r="D704" s="122">
        <v>1967</v>
      </c>
      <c r="E704" s="127"/>
      <c r="F704" s="127" t="s">
        <v>274</v>
      </c>
      <c r="G704" s="122">
        <v>2</v>
      </c>
      <c r="H704" s="122">
        <v>2</v>
      </c>
      <c r="I704" s="123">
        <v>678.4</v>
      </c>
      <c r="J704" s="123">
        <v>629.79999999999995</v>
      </c>
      <c r="K704" s="123">
        <v>589.79999999999995</v>
      </c>
      <c r="L704" s="124">
        <v>37</v>
      </c>
      <c r="M704" s="122" t="s">
        <v>272</v>
      </c>
      <c r="N704" s="122" t="s">
        <v>276</v>
      </c>
      <c r="O704" s="125" t="s">
        <v>337</v>
      </c>
      <c r="P704" s="126">
        <v>150000</v>
      </c>
      <c r="Q704" s="126">
        <v>0</v>
      </c>
      <c r="R704" s="126">
        <v>0</v>
      </c>
      <c r="S704" s="126">
        <f t="shared" si="191"/>
        <v>150000</v>
      </c>
      <c r="T704" s="126">
        <f t="shared" si="188"/>
        <v>221.10849056603774</v>
      </c>
      <c r="U704" s="126">
        <f t="shared" si="192"/>
        <v>221.10849056603774</v>
      </c>
    </row>
    <row r="705" spans="1:21" s="67" customFormat="1" ht="61.5" x14ac:dyDescent="0.9">
      <c r="A705" s="67">
        <v>1</v>
      </c>
      <c r="B705" s="118">
        <f>SUBTOTAL(103,$A$529:A705)</f>
        <v>174</v>
      </c>
      <c r="C705" s="115" t="s">
        <v>214</v>
      </c>
      <c r="D705" s="122">
        <v>1975</v>
      </c>
      <c r="E705" s="127"/>
      <c r="F705" s="127" t="s">
        <v>274</v>
      </c>
      <c r="G705" s="122">
        <v>2</v>
      </c>
      <c r="H705" s="122">
        <v>2</v>
      </c>
      <c r="I705" s="123">
        <v>817.4</v>
      </c>
      <c r="J705" s="123">
        <v>756.3</v>
      </c>
      <c r="K705" s="123">
        <v>652</v>
      </c>
      <c r="L705" s="124">
        <v>43</v>
      </c>
      <c r="M705" s="122" t="s">
        <v>272</v>
      </c>
      <c r="N705" s="122" t="s">
        <v>276</v>
      </c>
      <c r="O705" s="125" t="s">
        <v>337</v>
      </c>
      <c r="P705" s="126">
        <v>150000</v>
      </c>
      <c r="Q705" s="126">
        <v>0</v>
      </c>
      <c r="R705" s="126">
        <v>0</v>
      </c>
      <c r="S705" s="126">
        <f t="shared" si="191"/>
        <v>150000</v>
      </c>
      <c r="T705" s="126">
        <f t="shared" si="188"/>
        <v>183.50868607780768</v>
      </c>
      <c r="U705" s="126">
        <f t="shared" si="192"/>
        <v>183.50868607780768</v>
      </c>
    </row>
    <row r="706" spans="1:21" s="67" customFormat="1" ht="61.5" x14ac:dyDescent="0.9">
      <c r="A706" s="67">
        <v>1</v>
      </c>
      <c r="B706" s="118">
        <f>SUBTOTAL(103,$A$529:A706)</f>
        <v>175</v>
      </c>
      <c r="C706" s="115" t="s">
        <v>458</v>
      </c>
      <c r="D706" s="122">
        <v>1994</v>
      </c>
      <c r="E706" s="127"/>
      <c r="F706" s="127" t="s">
        <v>321</v>
      </c>
      <c r="G706" s="122">
        <v>9</v>
      </c>
      <c r="H706" s="122">
        <v>2</v>
      </c>
      <c r="I706" s="123">
        <v>4306.3</v>
      </c>
      <c r="J706" s="123">
        <v>3871</v>
      </c>
      <c r="K706" s="123">
        <v>3511.4</v>
      </c>
      <c r="L706" s="124">
        <v>173</v>
      </c>
      <c r="M706" s="122" t="s">
        <v>272</v>
      </c>
      <c r="N706" s="122" t="s">
        <v>276</v>
      </c>
      <c r="O706" s="125" t="s">
        <v>331</v>
      </c>
      <c r="P706" s="126">
        <v>100000</v>
      </c>
      <c r="Q706" s="126">
        <v>0</v>
      </c>
      <c r="R706" s="126">
        <v>0</v>
      </c>
      <c r="S706" s="126">
        <f t="shared" si="191"/>
        <v>100000</v>
      </c>
      <c r="T706" s="126">
        <f t="shared" si="188"/>
        <v>23.221791328983116</v>
      </c>
      <c r="U706" s="126">
        <f t="shared" si="192"/>
        <v>23.221791328983116</v>
      </c>
    </row>
    <row r="707" spans="1:21" s="67" customFormat="1" ht="61.5" x14ac:dyDescent="0.9">
      <c r="A707" s="67">
        <v>1</v>
      </c>
      <c r="B707" s="118">
        <f>SUBTOTAL(103,$A$529:A707)</f>
        <v>176</v>
      </c>
      <c r="C707" s="115" t="s">
        <v>459</v>
      </c>
      <c r="D707" s="122">
        <v>1950</v>
      </c>
      <c r="E707" s="127"/>
      <c r="F707" s="127" t="s">
        <v>274</v>
      </c>
      <c r="G707" s="122">
        <v>2</v>
      </c>
      <c r="H707" s="122">
        <v>1</v>
      </c>
      <c r="I707" s="123">
        <v>411.15</v>
      </c>
      <c r="J707" s="123">
        <v>369.45</v>
      </c>
      <c r="K707" s="123">
        <v>369.45</v>
      </c>
      <c r="L707" s="124">
        <v>17</v>
      </c>
      <c r="M707" s="122" t="s">
        <v>272</v>
      </c>
      <c r="N707" s="122" t="s">
        <v>276</v>
      </c>
      <c r="O707" s="125" t="s">
        <v>331</v>
      </c>
      <c r="P707" s="126">
        <v>120000</v>
      </c>
      <c r="Q707" s="126">
        <v>0</v>
      </c>
      <c r="R707" s="126">
        <v>0</v>
      </c>
      <c r="S707" s="126">
        <f t="shared" si="191"/>
        <v>120000</v>
      </c>
      <c r="T707" s="126">
        <f t="shared" si="188"/>
        <v>291.86428310835464</v>
      </c>
      <c r="U707" s="126">
        <f t="shared" si="192"/>
        <v>291.86428310835464</v>
      </c>
    </row>
    <row r="708" spans="1:21" s="67" customFormat="1" ht="61.5" x14ac:dyDescent="0.9">
      <c r="A708" s="67">
        <v>1</v>
      </c>
      <c r="B708" s="118">
        <f>SUBTOTAL(103,$A$529:A708)</f>
        <v>177</v>
      </c>
      <c r="C708" s="115" t="s">
        <v>460</v>
      </c>
      <c r="D708" s="122">
        <v>1966</v>
      </c>
      <c r="E708" s="127"/>
      <c r="F708" s="127" t="s">
        <v>274</v>
      </c>
      <c r="G708" s="122">
        <v>2</v>
      </c>
      <c r="H708" s="122">
        <v>2</v>
      </c>
      <c r="I708" s="123">
        <v>667.6</v>
      </c>
      <c r="J708" s="123">
        <v>626.5</v>
      </c>
      <c r="K708" s="123">
        <v>586.70000000000005</v>
      </c>
      <c r="L708" s="124">
        <v>37</v>
      </c>
      <c r="M708" s="122" t="s">
        <v>272</v>
      </c>
      <c r="N708" s="122" t="s">
        <v>276</v>
      </c>
      <c r="O708" s="125" t="s">
        <v>337</v>
      </c>
      <c r="P708" s="126">
        <v>150000</v>
      </c>
      <c r="Q708" s="126">
        <v>0</v>
      </c>
      <c r="R708" s="126">
        <v>0</v>
      </c>
      <c r="S708" s="126">
        <f t="shared" si="191"/>
        <v>150000</v>
      </c>
      <c r="T708" s="126">
        <f t="shared" si="188"/>
        <v>224.68544038346315</v>
      </c>
      <c r="U708" s="126">
        <f t="shared" si="192"/>
        <v>224.68544038346315</v>
      </c>
    </row>
    <row r="709" spans="1:21" s="67" customFormat="1" ht="61.5" x14ac:dyDescent="0.9">
      <c r="A709" s="67">
        <v>1</v>
      </c>
      <c r="B709" s="118">
        <f>SUBTOTAL(103,$A$529:A709)</f>
        <v>178</v>
      </c>
      <c r="C709" s="115" t="s">
        <v>461</v>
      </c>
      <c r="D709" s="122">
        <v>1977</v>
      </c>
      <c r="E709" s="127"/>
      <c r="F709" s="127" t="s">
        <v>274</v>
      </c>
      <c r="G709" s="122">
        <v>9</v>
      </c>
      <c r="H709" s="122">
        <v>1</v>
      </c>
      <c r="I709" s="123">
        <v>2576</v>
      </c>
      <c r="J709" s="123">
        <v>2212.6999999999998</v>
      </c>
      <c r="K709" s="123">
        <v>2123.6999999999998</v>
      </c>
      <c r="L709" s="124">
        <v>106</v>
      </c>
      <c r="M709" s="122" t="s">
        <v>272</v>
      </c>
      <c r="N709" s="122" t="s">
        <v>276</v>
      </c>
      <c r="O709" s="125" t="s">
        <v>337</v>
      </c>
      <c r="P709" s="126">
        <v>120000</v>
      </c>
      <c r="Q709" s="126">
        <v>0</v>
      </c>
      <c r="R709" s="126">
        <v>0</v>
      </c>
      <c r="S709" s="126">
        <f t="shared" si="191"/>
        <v>120000</v>
      </c>
      <c r="T709" s="126">
        <f t="shared" si="188"/>
        <v>46.58385093167702</v>
      </c>
      <c r="U709" s="126">
        <f t="shared" si="192"/>
        <v>46.58385093167702</v>
      </c>
    </row>
    <row r="710" spans="1:21" s="67" customFormat="1" ht="61.5" x14ac:dyDescent="0.9">
      <c r="A710" s="67">
        <v>1</v>
      </c>
      <c r="B710" s="118">
        <f>SUBTOTAL(103,$A$529:A710)</f>
        <v>179</v>
      </c>
      <c r="C710" s="115" t="s">
        <v>866</v>
      </c>
      <c r="D710" s="122">
        <v>1988</v>
      </c>
      <c r="E710" s="127"/>
      <c r="F710" s="127" t="s">
        <v>274</v>
      </c>
      <c r="G710" s="122">
        <v>9</v>
      </c>
      <c r="H710" s="122">
        <v>3</v>
      </c>
      <c r="I710" s="123">
        <v>6719</v>
      </c>
      <c r="J710" s="123">
        <v>5795.4</v>
      </c>
      <c r="K710" s="123">
        <v>5264.2</v>
      </c>
      <c r="L710" s="124">
        <v>304</v>
      </c>
      <c r="M710" s="122" t="s">
        <v>272</v>
      </c>
      <c r="N710" s="122" t="s">
        <v>276</v>
      </c>
      <c r="O710" s="125" t="s">
        <v>1042</v>
      </c>
      <c r="P710" s="126">
        <v>100000</v>
      </c>
      <c r="Q710" s="126">
        <v>0</v>
      </c>
      <c r="R710" s="126">
        <v>0</v>
      </c>
      <c r="S710" s="126">
        <f t="shared" si="191"/>
        <v>100000</v>
      </c>
      <c r="T710" s="126">
        <f t="shared" si="188"/>
        <v>14.883167137966959</v>
      </c>
      <c r="U710" s="126">
        <f t="shared" si="192"/>
        <v>14.883167137966959</v>
      </c>
    </row>
    <row r="711" spans="1:21" s="67" customFormat="1" ht="61.5" x14ac:dyDescent="0.9">
      <c r="B711" s="115" t="s">
        <v>810</v>
      </c>
      <c r="C711" s="115"/>
      <c r="D711" s="122" t="s">
        <v>943</v>
      </c>
      <c r="E711" s="122" t="s">
        <v>943</v>
      </c>
      <c r="F711" s="122" t="s">
        <v>943</v>
      </c>
      <c r="G711" s="122" t="s">
        <v>943</v>
      </c>
      <c r="H711" s="122" t="s">
        <v>943</v>
      </c>
      <c r="I711" s="123">
        <f>SUM(I712:I731)</f>
        <v>72887.22</v>
      </c>
      <c r="J711" s="123">
        <f t="shared" ref="J711:L711" si="193">SUM(J712:J731)</f>
        <v>53910.61</v>
      </c>
      <c r="K711" s="123">
        <f t="shared" si="193"/>
        <v>52570.61</v>
      </c>
      <c r="L711" s="124">
        <f t="shared" si="193"/>
        <v>2378</v>
      </c>
      <c r="M711" s="122" t="s">
        <v>943</v>
      </c>
      <c r="N711" s="122" t="s">
        <v>943</v>
      </c>
      <c r="O711" s="125" t="s">
        <v>943</v>
      </c>
      <c r="P711" s="123">
        <v>45207673.119999997</v>
      </c>
      <c r="Q711" s="123">
        <f t="shared" ref="Q711:S711" si="194">SUM(Q712:Q731)</f>
        <v>0</v>
      </c>
      <c r="R711" s="123">
        <f t="shared" si="194"/>
        <v>0</v>
      </c>
      <c r="S711" s="123">
        <f t="shared" si="194"/>
        <v>45207673.119999997</v>
      </c>
      <c r="T711" s="126">
        <f t="shared" si="188"/>
        <v>620.24142394235912</v>
      </c>
      <c r="U711" s="126">
        <f>MAX(U712:U720)</f>
        <v>3673.7777514792897</v>
      </c>
    </row>
    <row r="712" spans="1:21" s="67" customFormat="1" ht="61.5" x14ac:dyDescent="0.9">
      <c r="A712" s="67">
        <v>1</v>
      </c>
      <c r="B712" s="118">
        <f>SUBTOTAL(103,$A$529:A712)</f>
        <v>180</v>
      </c>
      <c r="C712" s="115" t="s">
        <v>823</v>
      </c>
      <c r="D712" s="122">
        <v>1959</v>
      </c>
      <c r="E712" s="127"/>
      <c r="F712" s="127" t="s">
        <v>346</v>
      </c>
      <c r="G712" s="122">
        <v>3</v>
      </c>
      <c r="H712" s="122">
        <v>2</v>
      </c>
      <c r="I712" s="123">
        <v>1267.5</v>
      </c>
      <c r="J712" s="123">
        <v>1160</v>
      </c>
      <c r="K712" s="123">
        <v>785.9</v>
      </c>
      <c r="L712" s="124">
        <v>31</v>
      </c>
      <c r="M712" s="122" t="s">
        <v>272</v>
      </c>
      <c r="N712" s="122" t="s">
        <v>276</v>
      </c>
      <c r="O712" s="125" t="s">
        <v>854</v>
      </c>
      <c r="P712" s="126">
        <v>3593042</v>
      </c>
      <c r="Q712" s="126">
        <v>0</v>
      </c>
      <c r="R712" s="126">
        <v>0</v>
      </c>
      <c r="S712" s="126">
        <f t="shared" ref="S712:S731" si="195">P712-Q712-R712</f>
        <v>3593042</v>
      </c>
      <c r="T712" s="126">
        <f t="shared" si="188"/>
        <v>2834.7471400394479</v>
      </c>
      <c r="U712" s="126">
        <v>3673.7777514792897</v>
      </c>
    </row>
    <row r="713" spans="1:21" s="67" customFormat="1" ht="61.5" x14ac:dyDescent="0.9">
      <c r="A713" s="67">
        <v>1</v>
      </c>
      <c r="B713" s="118">
        <f>SUBTOTAL(103,$A$529:A713)</f>
        <v>181</v>
      </c>
      <c r="C713" s="115" t="s">
        <v>824</v>
      </c>
      <c r="D713" s="122">
        <v>1992</v>
      </c>
      <c r="E713" s="127"/>
      <c r="F713" s="127" t="s">
        <v>328</v>
      </c>
      <c r="G713" s="122">
        <v>9</v>
      </c>
      <c r="H713" s="122">
        <v>3</v>
      </c>
      <c r="I713" s="123">
        <v>8073.1</v>
      </c>
      <c r="J713" s="123">
        <v>5829</v>
      </c>
      <c r="K713" s="123">
        <v>5829</v>
      </c>
      <c r="L713" s="124">
        <v>241</v>
      </c>
      <c r="M713" s="122" t="s">
        <v>272</v>
      </c>
      <c r="N713" s="122" t="s">
        <v>276</v>
      </c>
      <c r="O713" s="125" t="s">
        <v>852</v>
      </c>
      <c r="P713" s="126">
        <v>6429744.8300000001</v>
      </c>
      <c r="Q713" s="126">
        <v>0</v>
      </c>
      <c r="R713" s="126">
        <v>0</v>
      </c>
      <c r="S713" s="126">
        <f t="shared" si="195"/>
        <v>6429744.8300000001</v>
      </c>
      <c r="T713" s="126">
        <f t="shared" si="188"/>
        <v>796.44062751607191</v>
      </c>
      <c r="U713" s="126">
        <v>835.47943169290602</v>
      </c>
    </row>
    <row r="714" spans="1:21" s="67" customFormat="1" ht="61.5" x14ac:dyDescent="0.9">
      <c r="A714" s="67">
        <v>1</v>
      </c>
      <c r="B714" s="118">
        <f>SUBTOTAL(103,$A$529:A714)</f>
        <v>182</v>
      </c>
      <c r="C714" s="115" t="s">
        <v>825</v>
      </c>
      <c r="D714" s="122">
        <v>1993</v>
      </c>
      <c r="E714" s="127"/>
      <c r="F714" s="127" t="s">
        <v>328</v>
      </c>
      <c r="G714" s="122">
        <v>9</v>
      </c>
      <c r="H714" s="122">
        <v>4</v>
      </c>
      <c r="I714" s="123">
        <v>11047.1</v>
      </c>
      <c r="J714" s="123">
        <v>7851.2</v>
      </c>
      <c r="K714" s="123">
        <v>7851.2</v>
      </c>
      <c r="L714" s="124">
        <v>267</v>
      </c>
      <c r="M714" s="122" t="s">
        <v>272</v>
      </c>
      <c r="N714" s="122" t="s">
        <v>276</v>
      </c>
      <c r="O714" s="125" t="s">
        <v>858</v>
      </c>
      <c r="P714" s="126">
        <v>8572796.0600000005</v>
      </c>
      <c r="Q714" s="126">
        <v>0</v>
      </c>
      <c r="R714" s="126">
        <v>0</v>
      </c>
      <c r="S714" s="126">
        <f t="shared" si="195"/>
        <v>8572796.0600000005</v>
      </c>
      <c r="T714" s="126">
        <f t="shared" si="188"/>
        <v>776.0223099274923</v>
      </c>
      <c r="U714" s="126">
        <v>814.0789890559513</v>
      </c>
    </row>
    <row r="715" spans="1:21" s="67" customFormat="1" ht="61.5" x14ac:dyDescent="0.9">
      <c r="A715" s="67">
        <v>1</v>
      </c>
      <c r="B715" s="118">
        <f>SUBTOTAL(103,$A$529:A715)</f>
        <v>183</v>
      </c>
      <c r="C715" s="115" t="s">
        <v>1153</v>
      </c>
      <c r="D715" s="122">
        <v>1960</v>
      </c>
      <c r="E715" s="127"/>
      <c r="F715" s="127" t="s">
        <v>274</v>
      </c>
      <c r="G715" s="122">
        <v>3</v>
      </c>
      <c r="H715" s="122">
        <v>2</v>
      </c>
      <c r="I715" s="123">
        <v>1377.9</v>
      </c>
      <c r="J715" s="123">
        <v>966.6</v>
      </c>
      <c r="K715" s="123">
        <v>966.6</v>
      </c>
      <c r="L715" s="124">
        <v>28</v>
      </c>
      <c r="M715" s="122" t="s">
        <v>272</v>
      </c>
      <c r="N715" s="122" t="s">
        <v>276</v>
      </c>
      <c r="O715" s="125" t="s">
        <v>1155</v>
      </c>
      <c r="P715" s="126">
        <v>2932000</v>
      </c>
      <c r="Q715" s="126">
        <v>0</v>
      </c>
      <c r="R715" s="126">
        <v>0</v>
      </c>
      <c r="S715" s="126">
        <f t="shared" si="195"/>
        <v>2932000</v>
      </c>
      <c r="T715" s="126">
        <f t="shared" si="188"/>
        <v>2127.8757529573986</v>
      </c>
      <c r="U715" s="126">
        <v>2889.6554902387688</v>
      </c>
    </row>
    <row r="716" spans="1:21" s="67" customFormat="1" ht="61.5" x14ac:dyDescent="0.9">
      <c r="A716" s="67">
        <v>1</v>
      </c>
      <c r="B716" s="118">
        <f>SUBTOTAL(103,$A$529:A716)</f>
        <v>184</v>
      </c>
      <c r="C716" s="115" t="s">
        <v>827</v>
      </c>
      <c r="D716" s="122">
        <v>1929</v>
      </c>
      <c r="E716" s="127"/>
      <c r="F716" s="127" t="s">
        <v>274</v>
      </c>
      <c r="G716" s="122">
        <v>4</v>
      </c>
      <c r="H716" s="122">
        <v>5</v>
      </c>
      <c r="I716" s="123">
        <v>2912.91</v>
      </c>
      <c r="J716" s="123">
        <v>2492.91</v>
      </c>
      <c r="K716" s="123">
        <v>2305.0100000000002</v>
      </c>
      <c r="L716" s="124">
        <v>99</v>
      </c>
      <c r="M716" s="122" t="s">
        <v>272</v>
      </c>
      <c r="N716" s="122" t="s">
        <v>276</v>
      </c>
      <c r="O716" s="125" t="s">
        <v>859</v>
      </c>
      <c r="P716" s="126">
        <v>6057926.1899999995</v>
      </c>
      <c r="Q716" s="126">
        <v>0</v>
      </c>
      <c r="R716" s="126">
        <v>0</v>
      </c>
      <c r="S716" s="126">
        <f t="shared" si="195"/>
        <v>6057926.1899999995</v>
      </c>
      <c r="T716" s="126">
        <f t="shared" si="188"/>
        <v>2079.6818954241635</v>
      </c>
      <c r="U716" s="126">
        <v>3521.88</v>
      </c>
    </row>
    <row r="717" spans="1:21" s="67" customFormat="1" ht="61.5" x14ac:dyDescent="0.9">
      <c r="A717" s="67">
        <v>1</v>
      </c>
      <c r="B717" s="118">
        <f>SUBTOTAL(103,$A$529:A717)</f>
        <v>185</v>
      </c>
      <c r="C717" s="115" t="s">
        <v>828</v>
      </c>
      <c r="D717" s="122">
        <v>1994</v>
      </c>
      <c r="E717" s="127"/>
      <c r="F717" s="127" t="s">
        <v>328</v>
      </c>
      <c r="G717" s="122">
        <v>9</v>
      </c>
      <c r="H717" s="122">
        <v>2</v>
      </c>
      <c r="I717" s="123">
        <v>4866.8599999999997</v>
      </c>
      <c r="J717" s="123">
        <v>3886.2</v>
      </c>
      <c r="K717" s="123">
        <v>3886.2</v>
      </c>
      <c r="L717" s="124">
        <v>159</v>
      </c>
      <c r="M717" s="122" t="s">
        <v>272</v>
      </c>
      <c r="N717" s="122" t="s">
        <v>276</v>
      </c>
      <c r="O717" s="125" t="s">
        <v>854</v>
      </c>
      <c r="P717" s="126">
        <v>4286989.16</v>
      </c>
      <c r="Q717" s="126">
        <v>0</v>
      </c>
      <c r="R717" s="126">
        <v>0</v>
      </c>
      <c r="S717" s="126">
        <f t="shared" si="195"/>
        <v>4286989.16</v>
      </c>
      <c r="T717" s="126">
        <f t="shared" si="188"/>
        <v>880.85319076365465</v>
      </c>
      <c r="U717" s="126">
        <v>923.92343317868199</v>
      </c>
    </row>
    <row r="718" spans="1:21" s="67" customFormat="1" ht="61.5" x14ac:dyDescent="0.9">
      <c r="A718" s="67">
        <v>1</v>
      </c>
      <c r="B718" s="118">
        <f>SUBTOTAL(103,$A$529:A718)</f>
        <v>186</v>
      </c>
      <c r="C718" s="115" t="s">
        <v>829</v>
      </c>
      <c r="D718" s="122">
        <v>1966</v>
      </c>
      <c r="E718" s="127"/>
      <c r="F718" s="127" t="s">
        <v>274</v>
      </c>
      <c r="G718" s="122">
        <v>4</v>
      </c>
      <c r="H718" s="122">
        <v>4</v>
      </c>
      <c r="I718" s="123">
        <v>3436.5</v>
      </c>
      <c r="J718" s="123">
        <v>2673</v>
      </c>
      <c r="K718" s="123">
        <v>2483.9</v>
      </c>
      <c r="L718" s="124">
        <v>109</v>
      </c>
      <c r="M718" s="122" t="s">
        <v>272</v>
      </c>
      <c r="N718" s="122" t="s">
        <v>276</v>
      </c>
      <c r="O718" s="125" t="s">
        <v>854</v>
      </c>
      <c r="P718" s="126">
        <v>5501631.04</v>
      </c>
      <c r="Q718" s="126">
        <v>0</v>
      </c>
      <c r="R718" s="126">
        <v>0</v>
      </c>
      <c r="S718" s="126">
        <f t="shared" si="195"/>
        <v>5501631.04</v>
      </c>
      <c r="T718" s="126">
        <f t="shared" ref="T718:T781" si="196">P718/I718</f>
        <v>1600.9402124254329</v>
      </c>
      <c r="U718" s="126">
        <v>2266.2155623454096</v>
      </c>
    </row>
    <row r="719" spans="1:21" s="67" customFormat="1" ht="61.5" x14ac:dyDescent="0.9">
      <c r="A719" s="67">
        <v>1</v>
      </c>
      <c r="B719" s="118">
        <f>SUBTOTAL(103,$A$529:A719)</f>
        <v>187</v>
      </c>
      <c r="C719" s="115" t="s">
        <v>830</v>
      </c>
      <c r="D719" s="122">
        <v>1992</v>
      </c>
      <c r="E719" s="127"/>
      <c r="F719" s="127" t="s">
        <v>328</v>
      </c>
      <c r="G719" s="122">
        <v>9</v>
      </c>
      <c r="H719" s="122">
        <v>2</v>
      </c>
      <c r="I719" s="123">
        <v>4929.04</v>
      </c>
      <c r="J719" s="123">
        <v>3924.5</v>
      </c>
      <c r="K719" s="123">
        <v>3924.5</v>
      </c>
      <c r="L719" s="124">
        <v>180</v>
      </c>
      <c r="M719" s="122" t="s">
        <v>272</v>
      </c>
      <c r="N719" s="122" t="s">
        <v>276</v>
      </c>
      <c r="O719" s="125" t="s">
        <v>860</v>
      </c>
      <c r="P719" s="126">
        <v>4286989.16</v>
      </c>
      <c r="Q719" s="126">
        <v>0</v>
      </c>
      <c r="R719" s="126">
        <v>0</v>
      </c>
      <c r="S719" s="126">
        <f t="shared" si="195"/>
        <v>4286989.16</v>
      </c>
      <c r="T719" s="126">
        <f t="shared" si="196"/>
        <v>869.74119909759304</v>
      </c>
      <c r="U719" s="126">
        <v>912.26810900297016</v>
      </c>
    </row>
    <row r="720" spans="1:21" s="67" customFormat="1" ht="61.5" x14ac:dyDescent="0.9">
      <c r="A720" s="67">
        <v>1</v>
      </c>
      <c r="B720" s="118">
        <f>SUBTOTAL(103,$A$529:A720)</f>
        <v>188</v>
      </c>
      <c r="C720" s="115" t="s">
        <v>831</v>
      </c>
      <c r="D720" s="122">
        <v>1990</v>
      </c>
      <c r="E720" s="127"/>
      <c r="F720" s="127" t="s">
        <v>274</v>
      </c>
      <c r="G720" s="122">
        <v>9</v>
      </c>
      <c r="H720" s="122">
        <v>1</v>
      </c>
      <c r="I720" s="123">
        <v>5846.4</v>
      </c>
      <c r="J720" s="123">
        <v>4863.8999999999996</v>
      </c>
      <c r="K720" s="123">
        <v>4863.8999999999996</v>
      </c>
      <c r="L720" s="124">
        <v>374</v>
      </c>
      <c r="M720" s="122" t="s">
        <v>272</v>
      </c>
      <c r="N720" s="122" t="s">
        <v>276</v>
      </c>
      <c r="O720" s="125" t="s">
        <v>861</v>
      </c>
      <c r="P720" s="126">
        <v>2216554.6800000002</v>
      </c>
      <c r="Q720" s="126">
        <v>0</v>
      </c>
      <c r="R720" s="126">
        <v>0</v>
      </c>
      <c r="S720" s="126">
        <f t="shared" si="195"/>
        <v>2216554.6800000002</v>
      </c>
      <c r="T720" s="126">
        <f t="shared" si="196"/>
        <v>379.13154761904769</v>
      </c>
      <c r="U720" s="126">
        <v>384.56195265462509</v>
      </c>
    </row>
    <row r="721" spans="1:21" s="67" customFormat="1" ht="61.5" x14ac:dyDescent="0.9">
      <c r="A721" s="67">
        <v>1</v>
      </c>
      <c r="B721" s="118">
        <f>SUBTOTAL(103,$A$529:A721)</f>
        <v>189</v>
      </c>
      <c r="C721" s="115" t="s">
        <v>833</v>
      </c>
      <c r="D721" s="122">
        <v>1961</v>
      </c>
      <c r="E721" s="127"/>
      <c r="F721" s="127" t="s">
        <v>274</v>
      </c>
      <c r="G721" s="122">
        <v>3</v>
      </c>
      <c r="H721" s="122">
        <v>2</v>
      </c>
      <c r="I721" s="123">
        <v>1044</v>
      </c>
      <c r="J721" s="123">
        <v>968.1</v>
      </c>
      <c r="K721" s="123">
        <v>968.1</v>
      </c>
      <c r="L721" s="124">
        <v>46</v>
      </c>
      <c r="M721" s="122" t="s">
        <v>272</v>
      </c>
      <c r="N721" s="122" t="s">
        <v>276</v>
      </c>
      <c r="O721" s="125" t="s">
        <v>852</v>
      </c>
      <c r="P721" s="126">
        <v>110000</v>
      </c>
      <c r="Q721" s="126">
        <v>0</v>
      </c>
      <c r="R721" s="126">
        <v>0</v>
      </c>
      <c r="S721" s="126">
        <f t="shared" si="195"/>
        <v>110000</v>
      </c>
      <c r="T721" s="126">
        <f t="shared" si="196"/>
        <v>105.3639846743295</v>
      </c>
      <c r="U721" s="126">
        <f t="shared" ref="U721:U731" si="197">T721</f>
        <v>105.3639846743295</v>
      </c>
    </row>
    <row r="722" spans="1:21" s="67" customFormat="1" ht="61.5" x14ac:dyDescent="0.9">
      <c r="A722" s="67">
        <v>1</v>
      </c>
      <c r="B722" s="118">
        <f>SUBTOTAL(103,$A$529:A722)</f>
        <v>190</v>
      </c>
      <c r="C722" s="115" t="s">
        <v>834</v>
      </c>
      <c r="D722" s="122">
        <v>1960</v>
      </c>
      <c r="E722" s="127"/>
      <c r="F722" s="127" t="s">
        <v>274</v>
      </c>
      <c r="G722" s="122">
        <v>2</v>
      </c>
      <c r="H722" s="122">
        <v>2</v>
      </c>
      <c r="I722" s="123">
        <v>711.5</v>
      </c>
      <c r="J722" s="123">
        <v>515.1</v>
      </c>
      <c r="K722" s="123">
        <v>515.1</v>
      </c>
      <c r="L722" s="124">
        <v>13</v>
      </c>
      <c r="M722" s="122" t="s">
        <v>272</v>
      </c>
      <c r="N722" s="122" t="s">
        <v>273</v>
      </c>
      <c r="O722" s="125" t="s">
        <v>275</v>
      </c>
      <c r="P722" s="126">
        <v>110000</v>
      </c>
      <c r="Q722" s="126">
        <v>0</v>
      </c>
      <c r="R722" s="126">
        <v>0</v>
      </c>
      <c r="S722" s="126">
        <f t="shared" si="195"/>
        <v>110000</v>
      </c>
      <c r="T722" s="126">
        <f t="shared" si="196"/>
        <v>154.60295151089247</v>
      </c>
      <c r="U722" s="126">
        <f t="shared" si="197"/>
        <v>154.60295151089247</v>
      </c>
    </row>
    <row r="723" spans="1:21" s="67" customFormat="1" ht="61.5" x14ac:dyDescent="0.9">
      <c r="A723" s="67">
        <v>1</v>
      </c>
      <c r="B723" s="118">
        <f>SUBTOTAL(103,$A$529:A723)</f>
        <v>191</v>
      </c>
      <c r="C723" s="115" t="s">
        <v>1154</v>
      </c>
      <c r="D723" s="122">
        <v>1962</v>
      </c>
      <c r="E723" s="127"/>
      <c r="F723" s="127" t="s">
        <v>274</v>
      </c>
      <c r="G723" s="122">
        <v>4</v>
      </c>
      <c r="H723" s="122">
        <v>2</v>
      </c>
      <c r="I723" s="123">
        <v>1321.3</v>
      </c>
      <c r="J723" s="123">
        <v>1280</v>
      </c>
      <c r="K723" s="123">
        <v>975</v>
      </c>
      <c r="L723" s="124">
        <v>60</v>
      </c>
      <c r="M723" s="122" t="s">
        <v>272</v>
      </c>
      <c r="N723" s="122" t="s">
        <v>276</v>
      </c>
      <c r="O723" s="125" t="s">
        <v>856</v>
      </c>
      <c r="P723" s="126">
        <v>110000</v>
      </c>
      <c r="Q723" s="126">
        <v>0</v>
      </c>
      <c r="R723" s="126">
        <v>0</v>
      </c>
      <c r="S723" s="126">
        <f t="shared" si="195"/>
        <v>110000</v>
      </c>
      <c r="T723" s="126">
        <f t="shared" si="196"/>
        <v>83.251343373949894</v>
      </c>
      <c r="U723" s="126">
        <f t="shared" si="197"/>
        <v>83.251343373949894</v>
      </c>
    </row>
    <row r="724" spans="1:21" s="67" customFormat="1" ht="61.5" x14ac:dyDescent="0.9">
      <c r="A724" s="67">
        <v>1</v>
      </c>
      <c r="B724" s="118">
        <f>SUBTOTAL(103,$A$529:A724)</f>
        <v>192</v>
      </c>
      <c r="C724" s="115" t="s">
        <v>836</v>
      </c>
      <c r="D724" s="122">
        <v>1991</v>
      </c>
      <c r="E724" s="127"/>
      <c r="F724" s="127" t="s">
        <v>328</v>
      </c>
      <c r="G724" s="122">
        <v>9</v>
      </c>
      <c r="H724" s="122">
        <v>4</v>
      </c>
      <c r="I724" s="123">
        <v>10990.1</v>
      </c>
      <c r="J724" s="123">
        <v>7793.3</v>
      </c>
      <c r="K724" s="123">
        <v>7793.3</v>
      </c>
      <c r="L724" s="124">
        <v>318</v>
      </c>
      <c r="M724" s="122" t="s">
        <v>272</v>
      </c>
      <c r="N724" s="122" t="s">
        <v>276</v>
      </c>
      <c r="O724" s="125" t="s">
        <v>858</v>
      </c>
      <c r="P724" s="126">
        <v>120000</v>
      </c>
      <c r="Q724" s="126">
        <v>0</v>
      </c>
      <c r="R724" s="126">
        <v>0</v>
      </c>
      <c r="S724" s="126">
        <f t="shared" si="195"/>
        <v>120000</v>
      </c>
      <c r="T724" s="126">
        <f t="shared" si="196"/>
        <v>10.918917935232619</v>
      </c>
      <c r="U724" s="126">
        <f t="shared" si="197"/>
        <v>10.918917935232619</v>
      </c>
    </row>
    <row r="725" spans="1:21" s="67" customFormat="1" ht="61.5" x14ac:dyDescent="0.9">
      <c r="A725" s="67">
        <v>1</v>
      </c>
      <c r="B725" s="118">
        <f>SUBTOTAL(103,$A$529:A725)</f>
        <v>193</v>
      </c>
      <c r="C725" s="115" t="s">
        <v>838</v>
      </c>
      <c r="D725" s="122">
        <v>1959</v>
      </c>
      <c r="E725" s="127"/>
      <c r="F725" s="127" t="s">
        <v>274</v>
      </c>
      <c r="G725" s="122">
        <v>4</v>
      </c>
      <c r="H725" s="122">
        <v>2</v>
      </c>
      <c r="I725" s="123">
        <v>2758</v>
      </c>
      <c r="J725" s="123">
        <v>809</v>
      </c>
      <c r="K725" s="123">
        <v>809</v>
      </c>
      <c r="L725" s="124">
        <v>67</v>
      </c>
      <c r="M725" s="122" t="s">
        <v>272</v>
      </c>
      <c r="N725" s="122" t="s">
        <v>276</v>
      </c>
      <c r="O725" s="125" t="s">
        <v>856</v>
      </c>
      <c r="P725" s="126">
        <v>140000</v>
      </c>
      <c r="Q725" s="126">
        <v>0</v>
      </c>
      <c r="R725" s="126">
        <v>0</v>
      </c>
      <c r="S725" s="126">
        <f t="shared" si="195"/>
        <v>140000</v>
      </c>
      <c r="T725" s="126">
        <f t="shared" si="196"/>
        <v>50.761421319796952</v>
      </c>
      <c r="U725" s="126">
        <f t="shared" si="197"/>
        <v>50.761421319796952</v>
      </c>
    </row>
    <row r="726" spans="1:21" s="67" customFormat="1" ht="61.5" x14ac:dyDescent="0.9">
      <c r="A726" s="67">
        <v>1</v>
      </c>
      <c r="B726" s="118">
        <f>SUBTOTAL(103,$A$529:A726)</f>
        <v>194</v>
      </c>
      <c r="C726" s="115" t="s">
        <v>839</v>
      </c>
      <c r="D726" s="122">
        <v>1960</v>
      </c>
      <c r="E726" s="127"/>
      <c r="F726" s="127" t="s">
        <v>274</v>
      </c>
      <c r="G726" s="122">
        <v>3</v>
      </c>
      <c r="H726" s="122">
        <v>2</v>
      </c>
      <c r="I726" s="123">
        <v>1352</v>
      </c>
      <c r="J726" s="123">
        <v>970.4</v>
      </c>
      <c r="K726" s="123">
        <v>970.4</v>
      </c>
      <c r="L726" s="124">
        <v>57</v>
      </c>
      <c r="M726" s="122" t="s">
        <v>272</v>
      </c>
      <c r="N726" s="122" t="s">
        <v>273</v>
      </c>
      <c r="O726" s="125" t="s">
        <v>275</v>
      </c>
      <c r="P726" s="126">
        <v>110000</v>
      </c>
      <c r="Q726" s="126">
        <v>0</v>
      </c>
      <c r="R726" s="126">
        <v>0</v>
      </c>
      <c r="S726" s="126">
        <f t="shared" si="195"/>
        <v>110000</v>
      </c>
      <c r="T726" s="126">
        <f t="shared" si="196"/>
        <v>81.360946745562131</v>
      </c>
      <c r="U726" s="126">
        <f t="shared" si="197"/>
        <v>81.360946745562131</v>
      </c>
    </row>
    <row r="727" spans="1:21" s="67" customFormat="1" ht="61.5" x14ac:dyDescent="0.9">
      <c r="A727" s="67">
        <v>1</v>
      </c>
      <c r="B727" s="118">
        <f>SUBTOTAL(103,$A$529:A727)</f>
        <v>195</v>
      </c>
      <c r="C727" s="115" t="s">
        <v>837</v>
      </c>
      <c r="D727" s="122">
        <v>1937</v>
      </c>
      <c r="E727" s="127"/>
      <c r="F727" s="127" t="s">
        <v>274</v>
      </c>
      <c r="G727" s="122">
        <v>3</v>
      </c>
      <c r="H727" s="122">
        <v>4</v>
      </c>
      <c r="I727" s="123">
        <v>1090.8</v>
      </c>
      <c r="J727" s="123">
        <v>970.4</v>
      </c>
      <c r="K727" s="123">
        <v>854.9</v>
      </c>
      <c r="L727" s="124">
        <v>62</v>
      </c>
      <c r="M727" s="122" t="s">
        <v>272</v>
      </c>
      <c r="N727" s="122" t="s">
        <v>273</v>
      </c>
      <c r="O727" s="125" t="s">
        <v>275</v>
      </c>
      <c r="P727" s="126">
        <v>110000</v>
      </c>
      <c r="Q727" s="126">
        <v>0</v>
      </c>
      <c r="R727" s="126">
        <v>0</v>
      </c>
      <c r="S727" s="126">
        <f t="shared" si="195"/>
        <v>110000</v>
      </c>
      <c r="T727" s="126">
        <f t="shared" si="196"/>
        <v>100.84341767510085</v>
      </c>
      <c r="U727" s="126">
        <f t="shared" si="197"/>
        <v>100.84341767510085</v>
      </c>
    </row>
    <row r="728" spans="1:21" s="67" customFormat="1" ht="61.5" x14ac:dyDescent="0.9">
      <c r="A728" s="67">
        <v>1</v>
      </c>
      <c r="B728" s="118">
        <f>SUBTOTAL(103,$A$529:A728)</f>
        <v>196</v>
      </c>
      <c r="C728" s="115" t="s">
        <v>840</v>
      </c>
      <c r="D728" s="122">
        <v>1965</v>
      </c>
      <c r="E728" s="127"/>
      <c r="F728" s="127" t="s">
        <v>274</v>
      </c>
      <c r="G728" s="122">
        <v>5</v>
      </c>
      <c r="H728" s="122">
        <v>2</v>
      </c>
      <c r="I728" s="123">
        <v>2042.45</v>
      </c>
      <c r="J728" s="123">
        <v>1565</v>
      </c>
      <c r="K728" s="123">
        <v>1565</v>
      </c>
      <c r="L728" s="124">
        <v>65</v>
      </c>
      <c r="M728" s="122" t="s">
        <v>272</v>
      </c>
      <c r="N728" s="122" t="s">
        <v>276</v>
      </c>
      <c r="O728" s="125" t="s">
        <v>854</v>
      </c>
      <c r="P728" s="126">
        <v>110000</v>
      </c>
      <c r="Q728" s="126">
        <v>0</v>
      </c>
      <c r="R728" s="126">
        <v>0</v>
      </c>
      <c r="S728" s="126">
        <f t="shared" si="195"/>
        <v>110000</v>
      </c>
      <c r="T728" s="126">
        <f t="shared" si="196"/>
        <v>53.856887561507016</v>
      </c>
      <c r="U728" s="126">
        <f t="shared" si="197"/>
        <v>53.856887561507016</v>
      </c>
    </row>
    <row r="729" spans="1:21" s="67" customFormat="1" ht="61.5" x14ac:dyDescent="0.9">
      <c r="A729" s="67">
        <v>1</v>
      </c>
      <c r="B729" s="118">
        <f>SUBTOTAL(103,$A$529:A729)</f>
        <v>197</v>
      </c>
      <c r="C729" s="115" t="s">
        <v>841</v>
      </c>
      <c r="D729" s="122">
        <v>1955</v>
      </c>
      <c r="E729" s="127"/>
      <c r="F729" s="127" t="s">
        <v>346</v>
      </c>
      <c r="G729" s="122">
        <v>2</v>
      </c>
      <c r="H729" s="122">
        <v>2</v>
      </c>
      <c r="I729" s="123">
        <v>685.7</v>
      </c>
      <c r="J729" s="123">
        <v>629.20000000000005</v>
      </c>
      <c r="K729" s="123">
        <v>629.20000000000005</v>
      </c>
      <c r="L729" s="124">
        <v>28</v>
      </c>
      <c r="M729" s="122" t="s">
        <v>272</v>
      </c>
      <c r="N729" s="122" t="s">
        <v>273</v>
      </c>
      <c r="O729" s="125" t="s">
        <v>275</v>
      </c>
      <c r="P729" s="126">
        <v>130000</v>
      </c>
      <c r="Q729" s="126">
        <v>0</v>
      </c>
      <c r="R729" s="126">
        <v>0</v>
      </c>
      <c r="S729" s="126">
        <f t="shared" si="195"/>
        <v>130000</v>
      </c>
      <c r="T729" s="126">
        <f t="shared" si="196"/>
        <v>189.58728306839726</v>
      </c>
      <c r="U729" s="126">
        <f t="shared" si="197"/>
        <v>189.58728306839726</v>
      </c>
    </row>
    <row r="730" spans="1:21" s="67" customFormat="1" ht="61.5" x14ac:dyDescent="0.9">
      <c r="A730" s="67">
        <v>1</v>
      </c>
      <c r="B730" s="118">
        <f>SUBTOTAL(103,$A$529:A730)</f>
        <v>198</v>
      </c>
      <c r="C730" s="115" t="s">
        <v>842</v>
      </c>
      <c r="D730" s="122">
        <v>1975</v>
      </c>
      <c r="E730" s="127"/>
      <c r="F730" s="127" t="s">
        <v>274</v>
      </c>
      <c r="G730" s="122">
        <v>5</v>
      </c>
      <c r="H730" s="122">
        <v>6</v>
      </c>
      <c r="I730" s="123">
        <v>6824.86</v>
      </c>
      <c r="J730" s="123">
        <v>4475.3</v>
      </c>
      <c r="K730" s="123">
        <v>4306.8999999999996</v>
      </c>
      <c r="L730" s="124">
        <v>160</v>
      </c>
      <c r="M730" s="122" t="s">
        <v>272</v>
      </c>
      <c r="N730" s="122" t="s">
        <v>276</v>
      </c>
      <c r="O730" s="125" t="s">
        <v>862</v>
      </c>
      <c r="P730" s="126">
        <v>200000</v>
      </c>
      <c r="Q730" s="126">
        <v>0</v>
      </c>
      <c r="R730" s="126">
        <v>0</v>
      </c>
      <c r="S730" s="126">
        <f t="shared" si="195"/>
        <v>200000</v>
      </c>
      <c r="T730" s="126">
        <f t="shared" si="196"/>
        <v>29.3046304246534</v>
      </c>
      <c r="U730" s="126">
        <f t="shared" si="197"/>
        <v>29.3046304246534</v>
      </c>
    </row>
    <row r="731" spans="1:21" s="67" customFormat="1" ht="61.5" x14ac:dyDescent="0.9">
      <c r="A731" s="67">
        <v>1</v>
      </c>
      <c r="B731" s="118">
        <f>SUBTOTAL(103,$A$529:A731)</f>
        <v>199</v>
      </c>
      <c r="C731" s="115" t="s">
        <v>865</v>
      </c>
      <c r="D731" s="122">
        <v>1959</v>
      </c>
      <c r="E731" s="127"/>
      <c r="F731" s="127" t="s">
        <v>274</v>
      </c>
      <c r="G731" s="122">
        <v>2</v>
      </c>
      <c r="H731" s="122">
        <v>1</v>
      </c>
      <c r="I731" s="123">
        <v>309.2</v>
      </c>
      <c r="J731" s="123">
        <v>287.5</v>
      </c>
      <c r="K731" s="123">
        <v>287.5</v>
      </c>
      <c r="L731" s="124">
        <v>14</v>
      </c>
      <c r="M731" s="122" t="s">
        <v>272</v>
      </c>
      <c r="N731" s="122" t="s">
        <v>276</v>
      </c>
      <c r="O731" s="125" t="s">
        <v>1041</v>
      </c>
      <c r="P731" s="126">
        <v>80000</v>
      </c>
      <c r="Q731" s="126">
        <v>0</v>
      </c>
      <c r="R731" s="126">
        <v>0</v>
      </c>
      <c r="S731" s="126">
        <f t="shared" si="195"/>
        <v>80000</v>
      </c>
      <c r="T731" s="126">
        <f t="shared" si="196"/>
        <v>258.73221216041401</v>
      </c>
      <c r="U731" s="126">
        <f t="shared" si="197"/>
        <v>258.73221216041401</v>
      </c>
    </row>
    <row r="732" spans="1:21" s="67" customFormat="1" ht="61.5" x14ac:dyDescent="0.9">
      <c r="B732" s="115" t="s">
        <v>808</v>
      </c>
      <c r="C732" s="119"/>
      <c r="D732" s="122" t="s">
        <v>943</v>
      </c>
      <c r="E732" s="122" t="s">
        <v>943</v>
      </c>
      <c r="F732" s="122" t="s">
        <v>943</v>
      </c>
      <c r="G732" s="122" t="s">
        <v>943</v>
      </c>
      <c r="H732" s="122" t="s">
        <v>943</v>
      </c>
      <c r="I732" s="123">
        <f>SUM(I733:I735)</f>
        <v>16666.5</v>
      </c>
      <c r="J732" s="123">
        <f t="shared" ref="J732:L732" si="198">SUM(J733:J735)</f>
        <v>14898</v>
      </c>
      <c r="K732" s="123">
        <f t="shared" si="198"/>
        <v>14526.400000000001</v>
      </c>
      <c r="L732" s="124">
        <f t="shared" si="198"/>
        <v>711</v>
      </c>
      <c r="M732" s="122" t="s">
        <v>943</v>
      </c>
      <c r="N732" s="122" t="s">
        <v>943</v>
      </c>
      <c r="O732" s="125" t="s">
        <v>943</v>
      </c>
      <c r="P732" s="123">
        <v>21856214.649999999</v>
      </c>
      <c r="Q732" s="123">
        <f t="shared" ref="Q732:S732" si="199">SUM(Q733:Q735)</f>
        <v>0</v>
      </c>
      <c r="R732" s="123">
        <f t="shared" si="199"/>
        <v>0</v>
      </c>
      <c r="S732" s="123">
        <f t="shared" si="199"/>
        <v>21856214.649999999</v>
      </c>
      <c r="T732" s="126">
        <f t="shared" si="196"/>
        <v>1311.3859928599286</v>
      </c>
      <c r="U732" s="126">
        <f>MAX(U733:U735)</f>
        <v>4885.8458036158136</v>
      </c>
    </row>
    <row r="733" spans="1:21" s="67" customFormat="1" ht="61.5" x14ac:dyDescent="0.9">
      <c r="A733" s="67">
        <v>1</v>
      </c>
      <c r="B733" s="118">
        <f>SUBTOTAL(103,$A$529:A733)</f>
        <v>200</v>
      </c>
      <c r="C733" s="115" t="s">
        <v>400</v>
      </c>
      <c r="D733" s="122">
        <v>1982</v>
      </c>
      <c r="E733" s="127">
        <v>2015</v>
      </c>
      <c r="F733" s="127" t="s">
        <v>321</v>
      </c>
      <c r="G733" s="122">
        <v>9</v>
      </c>
      <c r="H733" s="122">
        <v>4</v>
      </c>
      <c r="I733" s="123">
        <v>8597</v>
      </c>
      <c r="J733" s="123">
        <v>7716.1</v>
      </c>
      <c r="K733" s="123">
        <v>7419.5</v>
      </c>
      <c r="L733" s="124">
        <v>358</v>
      </c>
      <c r="M733" s="122" t="s">
        <v>272</v>
      </c>
      <c r="N733" s="122" t="s">
        <v>276</v>
      </c>
      <c r="O733" s="125" t="s">
        <v>329</v>
      </c>
      <c r="P733" s="126">
        <v>8993212</v>
      </c>
      <c r="Q733" s="126">
        <v>0</v>
      </c>
      <c r="R733" s="126">
        <v>0</v>
      </c>
      <c r="S733" s="126">
        <f t="shared" ref="S733:S735" si="200">P733-Q733-R733</f>
        <v>8993212</v>
      </c>
      <c r="T733" s="126">
        <f t="shared" si="196"/>
        <v>1046.0872397347912</v>
      </c>
      <c r="U733" s="126">
        <v>1046.0872397347912</v>
      </c>
    </row>
    <row r="734" spans="1:21" s="67" customFormat="1" ht="61.5" x14ac:dyDescent="0.9">
      <c r="A734" s="67">
        <v>1</v>
      </c>
      <c r="B734" s="118">
        <f>SUBTOTAL(103,$A$529:A734)</f>
        <v>201</v>
      </c>
      <c r="C734" s="115" t="s">
        <v>401</v>
      </c>
      <c r="D734" s="122">
        <v>1981</v>
      </c>
      <c r="E734" s="127">
        <v>2016</v>
      </c>
      <c r="F734" s="127" t="s">
        <v>321</v>
      </c>
      <c r="G734" s="122">
        <v>12</v>
      </c>
      <c r="H734" s="122">
        <v>1</v>
      </c>
      <c r="I734" s="123">
        <v>4247.3999999999996</v>
      </c>
      <c r="J734" s="123">
        <v>3822</v>
      </c>
      <c r="K734" s="123">
        <v>3807.6</v>
      </c>
      <c r="L734" s="124">
        <v>185</v>
      </c>
      <c r="M734" s="122" t="s">
        <v>272</v>
      </c>
      <c r="N734" s="122" t="s">
        <v>276</v>
      </c>
      <c r="O734" s="125" t="s">
        <v>330</v>
      </c>
      <c r="P734" s="126">
        <v>7201018.8100000005</v>
      </c>
      <c r="Q734" s="126">
        <v>0</v>
      </c>
      <c r="R734" s="126">
        <v>0</v>
      </c>
      <c r="S734" s="126">
        <f t="shared" si="200"/>
        <v>7201018.8100000005</v>
      </c>
      <c r="T734" s="126">
        <f t="shared" si="196"/>
        <v>1695.3945496068186</v>
      </c>
      <c r="U734" s="126">
        <v>3929.6299999999997</v>
      </c>
    </row>
    <row r="735" spans="1:21" s="67" customFormat="1" ht="61.5" x14ac:dyDescent="0.9">
      <c r="A735" s="67">
        <v>1</v>
      </c>
      <c r="B735" s="118">
        <f>SUBTOTAL(103,$A$529:A735)</f>
        <v>202</v>
      </c>
      <c r="C735" s="115" t="s">
        <v>402</v>
      </c>
      <c r="D735" s="122">
        <v>1973</v>
      </c>
      <c r="E735" s="127">
        <v>2017</v>
      </c>
      <c r="F735" s="127" t="s">
        <v>321</v>
      </c>
      <c r="G735" s="122">
        <v>5</v>
      </c>
      <c r="H735" s="122">
        <v>5</v>
      </c>
      <c r="I735" s="123">
        <v>3822.1</v>
      </c>
      <c r="J735" s="123">
        <v>3359.9</v>
      </c>
      <c r="K735" s="123">
        <v>3299.3</v>
      </c>
      <c r="L735" s="124">
        <v>168</v>
      </c>
      <c r="M735" s="122" t="s">
        <v>272</v>
      </c>
      <c r="N735" s="122" t="s">
        <v>276</v>
      </c>
      <c r="O735" s="125" t="s">
        <v>330</v>
      </c>
      <c r="P735" s="126">
        <v>5661983.8399999999</v>
      </c>
      <c r="Q735" s="126">
        <v>0</v>
      </c>
      <c r="R735" s="126">
        <v>0</v>
      </c>
      <c r="S735" s="126">
        <f t="shared" si="200"/>
        <v>5661983.8399999999</v>
      </c>
      <c r="T735" s="126">
        <f t="shared" si="196"/>
        <v>1481.3803511158787</v>
      </c>
      <c r="U735" s="126">
        <v>4885.8458036158136</v>
      </c>
    </row>
    <row r="736" spans="1:21" s="67" customFormat="1" ht="61.5" x14ac:dyDescent="0.9">
      <c r="B736" s="115" t="s">
        <v>867</v>
      </c>
      <c r="C736" s="119"/>
      <c r="D736" s="122" t="s">
        <v>943</v>
      </c>
      <c r="E736" s="122" t="s">
        <v>943</v>
      </c>
      <c r="F736" s="122" t="s">
        <v>943</v>
      </c>
      <c r="G736" s="122" t="s">
        <v>943</v>
      </c>
      <c r="H736" s="122" t="s">
        <v>943</v>
      </c>
      <c r="I736" s="123">
        <f>SUM(I737:I748)</f>
        <v>31038.930000000004</v>
      </c>
      <c r="J736" s="123">
        <f t="shared" ref="J736:L736" si="201">SUM(J737:J748)</f>
        <v>15221.04</v>
      </c>
      <c r="K736" s="123">
        <f t="shared" si="201"/>
        <v>15220.64</v>
      </c>
      <c r="L736" s="124">
        <f t="shared" si="201"/>
        <v>1084</v>
      </c>
      <c r="M736" s="122" t="s">
        <v>943</v>
      </c>
      <c r="N736" s="122" t="s">
        <v>943</v>
      </c>
      <c r="O736" s="125" t="s">
        <v>943</v>
      </c>
      <c r="P736" s="123">
        <v>51168217.759999998</v>
      </c>
      <c r="Q736" s="123">
        <f t="shared" ref="Q736:S736" si="202">SUM(Q737:Q748)</f>
        <v>0</v>
      </c>
      <c r="R736" s="123">
        <f t="shared" si="202"/>
        <v>0</v>
      </c>
      <c r="S736" s="123">
        <f t="shared" si="202"/>
        <v>51168217.759999998</v>
      </c>
      <c r="T736" s="126">
        <f t="shared" si="196"/>
        <v>1648.5174508270741</v>
      </c>
      <c r="U736" s="126">
        <f>MAX(U737:U748)</f>
        <v>10323.771475641328</v>
      </c>
    </row>
    <row r="737" spans="1:21" s="67" customFormat="1" ht="61.5" x14ac:dyDescent="0.9">
      <c r="A737" s="67">
        <v>1</v>
      </c>
      <c r="B737" s="118">
        <f>SUBTOTAL(103,$A$529:A737)</f>
        <v>203</v>
      </c>
      <c r="C737" s="115" t="s">
        <v>654</v>
      </c>
      <c r="D737" s="122">
        <v>1965</v>
      </c>
      <c r="E737" s="127"/>
      <c r="F737" s="127" t="s">
        <v>274</v>
      </c>
      <c r="G737" s="122">
        <v>5</v>
      </c>
      <c r="H737" s="122">
        <v>4</v>
      </c>
      <c r="I737" s="123">
        <v>4109.6000000000004</v>
      </c>
      <c r="J737" s="123">
        <v>3177</v>
      </c>
      <c r="K737" s="123">
        <v>3176.6</v>
      </c>
      <c r="L737" s="124">
        <v>137</v>
      </c>
      <c r="M737" s="122" t="s">
        <v>272</v>
      </c>
      <c r="N737" s="122" t="s">
        <v>276</v>
      </c>
      <c r="O737" s="125" t="s">
        <v>1160</v>
      </c>
      <c r="P737" s="126">
        <v>4335833</v>
      </c>
      <c r="Q737" s="126">
        <v>0</v>
      </c>
      <c r="R737" s="126">
        <v>0</v>
      </c>
      <c r="S737" s="126">
        <f t="shared" ref="S737:S748" si="203">P737-Q737-R737</f>
        <v>4335833</v>
      </c>
      <c r="T737" s="126">
        <f t="shared" si="196"/>
        <v>1055.0498832003113</v>
      </c>
      <c r="U737" s="126">
        <v>1269.3801367529684</v>
      </c>
    </row>
    <row r="738" spans="1:21" s="67" customFormat="1" ht="61.5" x14ac:dyDescent="0.9">
      <c r="A738" s="67">
        <v>1</v>
      </c>
      <c r="B738" s="118">
        <f>SUBTOTAL(103,$A$529:A738)</f>
        <v>204</v>
      </c>
      <c r="C738" s="115" t="s">
        <v>655</v>
      </c>
      <c r="D738" s="122">
        <v>1987</v>
      </c>
      <c r="E738" s="127"/>
      <c r="F738" s="127" t="s">
        <v>274</v>
      </c>
      <c r="G738" s="122">
        <v>10</v>
      </c>
      <c r="H738" s="122">
        <v>1</v>
      </c>
      <c r="I738" s="123">
        <v>4233.46</v>
      </c>
      <c r="J738" s="123">
        <v>1997.7</v>
      </c>
      <c r="K738" s="123">
        <v>1997.7</v>
      </c>
      <c r="L738" s="124">
        <v>156</v>
      </c>
      <c r="M738" s="122" t="s">
        <v>272</v>
      </c>
      <c r="N738" s="122" t="s">
        <v>276</v>
      </c>
      <c r="O738" s="125" t="s">
        <v>755</v>
      </c>
      <c r="P738" s="126">
        <v>5909484.1499999994</v>
      </c>
      <c r="Q738" s="126">
        <v>0</v>
      </c>
      <c r="R738" s="126">
        <v>0</v>
      </c>
      <c r="S738" s="126">
        <f t="shared" si="203"/>
        <v>5909484.1499999994</v>
      </c>
      <c r="T738" s="126">
        <f t="shared" si="196"/>
        <v>1395.8993707274899</v>
      </c>
      <c r="U738" s="126">
        <v>1673.8078309467905</v>
      </c>
    </row>
    <row r="739" spans="1:21" s="67" customFormat="1" ht="61.5" x14ac:dyDescent="0.9">
      <c r="A739" s="67">
        <v>1</v>
      </c>
      <c r="B739" s="118">
        <f>SUBTOTAL(103,$A$529:A739)</f>
        <v>205</v>
      </c>
      <c r="C739" s="115" t="s">
        <v>656</v>
      </c>
      <c r="D739" s="122">
        <v>1984</v>
      </c>
      <c r="E739" s="127"/>
      <c r="F739" s="127" t="s">
        <v>274</v>
      </c>
      <c r="G739" s="122">
        <v>2</v>
      </c>
      <c r="H739" s="122">
        <v>1</v>
      </c>
      <c r="I739" s="123">
        <v>3054.2</v>
      </c>
      <c r="J739" s="123">
        <v>560.29999999999995</v>
      </c>
      <c r="K739" s="123">
        <v>560.29999999999995</v>
      </c>
      <c r="L739" s="124">
        <v>31</v>
      </c>
      <c r="M739" s="122" t="s">
        <v>272</v>
      </c>
      <c r="N739" s="122" t="s">
        <v>276</v>
      </c>
      <c r="O739" s="125" t="s">
        <v>755</v>
      </c>
      <c r="P739" s="126">
        <v>4721220</v>
      </c>
      <c r="Q739" s="126">
        <v>0</v>
      </c>
      <c r="R739" s="126">
        <v>0</v>
      </c>
      <c r="S739" s="126">
        <f t="shared" si="203"/>
        <v>4721220</v>
      </c>
      <c r="T739" s="126">
        <f t="shared" si="196"/>
        <v>1545.8123240128348</v>
      </c>
      <c r="U739" s="126">
        <v>2088.0749950887302</v>
      </c>
    </row>
    <row r="740" spans="1:21" s="67" customFormat="1" ht="61.5" x14ac:dyDescent="0.9">
      <c r="A740" s="67">
        <v>1</v>
      </c>
      <c r="B740" s="118">
        <f>SUBTOTAL(103,$A$529:A740)</f>
        <v>206</v>
      </c>
      <c r="C740" s="115" t="s">
        <v>661</v>
      </c>
      <c r="D740" s="122">
        <v>1955</v>
      </c>
      <c r="E740" s="127"/>
      <c r="F740" s="127" t="s">
        <v>274</v>
      </c>
      <c r="G740" s="122">
        <v>2</v>
      </c>
      <c r="H740" s="122">
        <v>1</v>
      </c>
      <c r="I740" s="123">
        <v>424.9</v>
      </c>
      <c r="J740" s="123">
        <v>377.6</v>
      </c>
      <c r="K740" s="123">
        <v>377.6</v>
      </c>
      <c r="L740" s="124">
        <v>21</v>
      </c>
      <c r="M740" s="122" t="s">
        <v>272</v>
      </c>
      <c r="N740" s="122" t="s">
        <v>273</v>
      </c>
      <c r="O740" s="125" t="s">
        <v>275</v>
      </c>
      <c r="P740" s="126">
        <v>3393650</v>
      </c>
      <c r="Q740" s="126">
        <v>0</v>
      </c>
      <c r="R740" s="126">
        <v>0</v>
      </c>
      <c r="S740" s="126">
        <f t="shared" si="203"/>
        <v>3393650</v>
      </c>
      <c r="T740" s="126">
        <f t="shared" si="196"/>
        <v>7986.9381030830791</v>
      </c>
      <c r="U740" s="126">
        <v>10323.771475641328</v>
      </c>
    </row>
    <row r="741" spans="1:21" s="67" customFormat="1" ht="61.5" x14ac:dyDescent="0.9">
      <c r="A741" s="67">
        <v>1</v>
      </c>
      <c r="B741" s="118">
        <f>SUBTOTAL(103,$A$529:A741)</f>
        <v>207</v>
      </c>
      <c r="C741" s="115" t="s">
        <v>662</v>
      </c>
      <c r="D741" s="122">
        <v>1965</v>
      </c>
      <c r="E741" s="127"/>
      <c r="F741" s="127" t="s">
        <v>274</v>
      </c>
      <c r="G741" s="122">
        <v>5</v>
      </c>
      <c r="H741" s="122">
        <v>2</v>
      </c>
      <c r="I741" s="123">
        <v>4398.3999999999996</v>
      </c>
      <c r="J741" s="123">
        <v>2300.6799999999998</v>
      </c>
      <c r="K741" s="123">
        <v>2300.6799999999998</v>
      </c>
      <c r="L741" s="124">
        <v>202</v>
      </c>
      <c r="M741" s="122" t="s">
        <v>272</v>
      </c>
      <c r="N741" s="122" t="s">
        <v>276</v>
      </c>
      <c r="O741" s="125" t="s">
        <v>1164</v>
      </c>
      <c r="P741" s="126">
        <v>5195840</v>
      </c>
      <c r="Q741" s="126">
        <v>0</v>
      </c>
      <c r="R741" s="126">
        <v>0</v>
      </c>
      <c r="S741" s="126">
        <f t="shared" si="203"/>
        <v>5195840</v>
      </c>
      <c r="T741" s="126">
        <f t="shared" si="196"/>
        <v>1181.3022917424519</v>
      </c>
      <c r="U741" s="126">
        <v>1595.6967988359404</v>
      </c>
    </row>
    <row r="742" spans="1:21" s="67" customFormat="1" ht="61.5" x14ac:dyDescent="0.9">
      <c r="A742" s="67">
        <v>1</v>
      </c>
      <c r="B742" s="118">
        <f>SUBTOTAL(103,$A$529:A742)</f>
        <v>208</v>
      </c>
      <c r="C742" s="115" t="s">
        <v>660</v>
      </c>
      <c r="D742" s="122">
        <v>1993</v>
      </c>
      <c r="E742" s="127"/>
      <c r="F742" s="127" t="s">
        <v>321</v>
      </c>
      <c r="G742" s="122">
        <v>9</v>
      </c>
      <c r="H742" s="122">
        <v>2</v>
      </c>
      <c r="I742" s="123">
        <v>4008</v>
      </c>
      <c r="J742" s="123">
        <v>2472.3000000000002</v>
      </c>
      <c r="K742" s="123">
        <v>2472.3000000000002</v>
      </c>
      <c r="L742" s="124">
        <v>281</v>
      </c>
      <c r="M742" s="122" t="s">
        <v>272</v>
      </c>
      <c r="N742" s="122" t="s">
        <v>276</v>
      </c>
      <c r="O742" s="125" t="s">
        <v>1160</v>
      </c>
      <c r="P742" s="126">
        <v>4892077</v>
      </c>
      <c r="Q742" s="126">
        <v>0</v>
      </c>
      <c r="R742" s="126">
        <v>0</v>
      </c>
      <c r="S742" s="126">
        <f t="shared" si="203"/>
        <v>4892077</v>
      </c>
      <c r="T742" s="126">
        <f t="shared" si="196"/>
        <v>1220.5780938123753</v>
      </c>
      <c r="U742" s="126">
        <v>1577.6971282435129</v>
      </c>
    </row>
    <row r="743" spans="1:21" s="67" customFormat="1" ht="61.5" x14ac:dyDescent="0.9">
      <c r="A743" s="67">
        <v>1</v>
      </c>
      <c r="B743" s="118">
        <f>SUBTOTAL(103,$A$529:A743)</f>
        <v>209</v>
      </c>
      <c r="C743" s="115" t="s">
        <v>651</v>
      </c>
      <c r="D743" s="122">
        <v>1959</v>
      </c>
      <c r="E743" s="127"/>
      <c r="F743" s="127" t="s">
        <v>274</v>
      </c>
      <c r="G743" s="122">
        <v>2</v>
      </c>
      <c r="H743" s="122">
        <v>2</v>
      </c>
      <c r="I743" s="123">
        <v>676.9</v>
      </c>
      <c r="J743" s="123">
        <v>525.79999999999995</v>
      </c>
      <c r="K743" s="123">
        <v>525.79999999999995</v>
      </c>
      <c r="L743" s="124">
        <v>29</v>
      </c>
      <c r="M743" s="122" t="s">
        <v>272</v>
      </c>
      <c r="N743" s="122" t="s">
        <v>276</v>
      </c>
      <c r="O743" s="125" t="s">
        <v>753</v>
      </c>
      <c r="P743" s="126">
        <v>2921671.6</v>
      </c>
      <c r="Q743" s="126">
        <v>0</v>
      </c>
      <c r="R743" s="126">
        <v>0</v>
      </c>
      <c r="S743" s="126">
        <f t="shared" si="203"/>
        <v>2921671.6</v>
      </c>
      <c r="T743" s="126">
        <f t="shared" si="196"/>
        <v>4316.2529177131046</v>
      </c>
      <c r="U743" s="126">
        <v>5579.1103146698179</v>
      </c>
    </row>
    <row r="744" spans="1:21" s="67" customFormat="1" ht="61.5" x14ac:dyDescent="0.9">
      <c r="A744" s="67">
        <v>1</v>
      </c>
      <c r="B744" s="118">
        <f>SUBTOTAL(103,$A$529:A744)</f>
        <v>210</v>
      </c>
      <c r="C744" s="115" t="s">
        <v>666</v>
      </c>
      <c r="D744" s="122">
        <v>1962</v>
      </c>
      <c r="E744" s="127"/>
      <c r="F744" s="127" t="s">
        <v>274</v>
      </c>
      <c r="G744" s="122">
        <v>2</v>
      </c>
      <c r="H744" s="122">
        <v>2</v>
      </c>
      <c r="I744" s="123">
        <v>1671.6</v>
      </c>
      <c r="J744" s="123">
        <v>623.6</v>
      </c>
      <c r="K744" s="123">
        <v>623.6</v>
      </c>
      <c r="L744" s="124">
        <v>42</v>
      </c>
      <c r="M744" s="122" t="s">
        <v>272</v>
      </c>
      <c r="N744" s="122" t="s">
        <v>291</v>
      </c>
      <c r="O744" s="125" t="s">
        <v>275</v>
      </c>
      <c r="P744" s="126">
        <v>4923403</v>
      </c>
      <c r="Q744" s="126">
        <v>0</v>
      </c>
      <c r="R744" s="126">
        <v>0</v>
      </c>
      <c r="S744" s="126">
        <f t="shared" si="203"/>
        <v>4923403</v>
      </c>
      <c r="T744" s="126">
        <f t="shared" si="196"/>
        <v>2945.3236420196222</v>
      </c>
      <c r="U744" s="126">
        <v>3807.0719729600382</v>
      </c>
    </row>
    <row r="745" spans="1:21" s="67" customFormat="1" ht="61.5" x14ac:dyDescent="0.9">
      <c r="A745" s="67">
        <v>1</v>
      </c>
      <c r="B745" s="118">
        <f>SUBTOTAL(103,$A$529:A745)</f>
        <v>211</v>
      </c>
      <c r="C745" s="115" t="s">
        <v>665</v>
      </c>
      <c r="D745" s="122">
        <v>1956</v>
      </c>
      <c r="E745" s="127"/>
      <c r="F745" s="127" t="s">
        <v>274</v>
      </c>
      <c r="G745" s="122">
        <v>2</v>
      </c>
      <c r="H745" s="122">
        <v>1</v>
      </c>
      <c r="I745" s="123">
        <v>418.2</v>
      </c>
      <c r="J745" s="123">
        <v>261.2</v>
      </c>
      <c r="K745" s="123">
        <v>261.2</v>
      </c>
      <c r="L745" s="124">
        <v>21</v>
      </c>
      <c r="M745" s="122" t="s">
        <v>272</v>
      </c>
      <c r="N745" s="122" t="s">
        <v>273</v>
      </c>
      <c r="O745" s="125" t="s">
        <v>275</v>
      </c>
      <c r="P745" s="126">
        <v>2767130</v>
      </c>
      <c r="Q745" s="126">
        <v>0</v>
      </c>
      <c r="R745" s="126">
        <v>0</v>
      </c>
      <c r="S745" s="126">
        <f t="shared" si="203"/>
        <v>2767130</v>
      </c>
      <c r="T745" s="126">
        <f t="shared" si="196"/>
        <v>6616.7623146819706</v>
      </c>
      <c r="U745" s="126">
        <v>8552.7070779531314</v>
      </c>
    </row>
    <row r="746" spans="1:21" s="67" customFormat="1" ht="61.5" x14ac:dyDescent="0.9">
      <c r="A746" s="67">
        <v>1</v>
      </c>
      <c r="B746" s="118">
        <f>SUBTOTAL(103,$A$529:A746)</f>
        <v>212</v>
      </c>
      <c r="C746" s="115" t="s">
        <v>670</v>
      </c>
      <c r="D746" s="122">
        <v>1963</v>
      </c>
      <c r="E746" s="127"/>
      <c r="F746" s="127" t="s">
        <v>274</v>
      </c>
      <c r="G746" s="122">
        <v>9</v>
      </c>
      <c r="H746" s="122">
        <v>1</v>
      </c>
      <c r="I746" s="123">
        <v>2814.2</v>
      </c>
      <c r="J746" s="123">
        <v>388.96</v>
      </c>
      <c r="K746" s="123">
        <v>388.96</v>
      </c>
      <c r="L746" s="124">
        <v>13</v>
      </c>
      <c r="M746" s="122" t="s">
        <v>272</v>
      </c>
      <c r="N746" s="122" t="s">
        <v>276</v>
      </c>
      <c r="O746" s="125" t="s">
        <v>753</v>
      </c>
      <c r="P746" s="126">
        <v>2248303</v>
      </c>
      <c r="Q746" s="126">
        <v>0</v>
      </c>
      <c r="R746" s="126">
        <v>0</v>
      </c>
      <c r="S746" s="126">
        <f t="shared" si="203"/>
        <v>2248303</v>
      </c>
      <c r="T746" s="126">
        <f t="shared" si="196"/>
        <v>798.91372326060696</v>
      </c>
      <c r="U746" s="126">
        <v>798.91372326060696</v>
      </c>
    </row>
    <row r="747" spans="1:21" s="67" customFormat="1" ht="61.5" x14ac:dyDescent="0.9">
      <c r="A747" s="67">
        <v>1</v>
      </c>
      <c r="B747" s="118">
        <f>SUBTOTAL(103,$A$529:A747)</f>
        <v>213</v>
      </c>
      <c r="C747" s="115" t="s">
        <v>677</v>
      </c>
      <c r="D747" s="122">
        <v>1990</v>
      </c>
      <c r="E747" s="127"/>
      <c r="F747" s="127" t="s">
        <v>274</v>
      </c>
      <c r="G747" s="122">
        <v>2</v>
      </c>
      <c r="H747" s="122">
        <v>1</v>
      </c>
      <c r="I747" s="123">
        <v>2805.67</v>
      </c>
      <c r="J747" s="123">
        <v>317</v>
      </c>
      <c r="K747" s="123">
        <v>317</v>
      </c>
      <c r="L747" s="124">
        <v>31</v>
      </c>
      <c r="M747" s="122" t="s">
        <v>272</v>
      </c>
      <c r="N747" s="122" t="s">
        <v>291</v>
      </c>
      <c r="O747" s="125" t="s">
        <v>275</v>
      </c>
      <c r="P747" s="126">
        <v>5495600.0099999998</v>
      </c>
      <c r="Q747" s="126">
        <v>0</v>
      </c>
      <c r="R747" s="126">
        <v>0</v>
      </c>
      <c r="S747" s="126">
        <f t="shared" si="203"/>
        <v>5495600.0099999998</v>
      </c>
      <c r="T747" s="126">
        <f t="shared" si="196"/>
        <v>1958.7478249402102</v>
      </c>
      <c r="U747" s="126">
        <v>2645.8660498205418</v>
      </c>
    </row>
    <row r="748" spans="1:21" s="67" customFormat="1" ht="61.5" x14ac:dyDescent="0.9">
      <c r="A748" s="67">
        <v>1</v>
      </c>
      <c r="B748" s="118">
        <f>SUBTOTAL(103,$A$529:A748)</f>
        <v>214</v>
      </c>
      <c r="C748" s="115" t="s">
        <v>668</v>
      </c>
      <c r="D748" s="122">
        <v>1965</v>
      </c>
      <c r="E748" s="127"/>
      <c r="F748" s="127" t="s">
        <v>274</v>
      </c>
      <c r="G748" s="122">
        <v>5</v>
      </c>
      <c r="H748" s="122">
        <v>3</v>
      </c>
      <c r="I748" s="123">
        <v>2423.8000000000002</v>
      </c>
      <c r="J748" s="123">
        <v>2218.9</v>
      </c>
      <c r="K748" s="123">
        <v>2218.9</v>
      </c>
      <c r="L748" s="124">
        <v>120</v>
      </c>
      <c r="M748" s="122" t="s">
        <v>272</v>
      </c>
      <c r="N748" s="122" t="s">
        <v>276</v>
      </c>
      <c r="O748" s="125" t="s">
        <v>753</v>
      </c>
      <c r="P748" s="126">
        <v>4364006</v>
      </c>
      <c r="Q748" s="126">
        <v>0</v>
      </c>
      <c r="R748" s="126">
        <v>0</v>
      </c>
      <c r="S748" s="126">
        <f t="shared" si="203"/>
        <v>4364006</v>
      </c>
      <c r="T748" s="126">
        <f t="shared" si="196"/>
        <v>1800.4810627939598</v>
      </c>
      <c r="U748" s="126">
        <v>2432.0801613169401</v>
      </c>
    </row>
    <row r="749" spans="1:21" s="67" customFormat="1" ht="61.5" x14ac:dyDescent="0.9">
      <c r="B749" s="115" t="s">
        <v>868</v>
      </c>
      <c r="C749" s="115"/>
      <c r="D749" s="122" t="s">
        <v>943</v>
      </c>
      <c r="E749" s="122" t="s">
        <v>943</v>
      </c>
      <c r="F749" s="122" t="s">
        <v>943</v>
      </c>
      <c r="G749" s="122" t="s">
        <v>943</v>
      </c>
      <c r="H749" s="122" t="s">
        <v>943</v>
      </c>
      <c r="I749" s="123">
        <f>SUM(I750:I751)</f>
        <v>12179.5</v>
      </c>
      <c r="J749" s="123">
        <f t="shared" ref="J749:L749" si="204">SUM(J750:J751)</f>
        <v>9281.2000000000007</v>
      </c>
      <c r="K749" s="123">
        <f t="shared" si="204"/>
        <v>8817.5999999999985</v>
      </c>
      <c r="L749" s="124">
        <f t="shared" si="204"/>
        <v>420</v>
      </c>
      <c r="M749" s="122" t="s">
        <v>943</v>
      </c>
      <c r="N749" s="122" t="s">
        <v>943</v>
      </c>
      <c r="O749" s="125" t="s">
        <v>943</v>
      </c>
      <c r="P749" s="123">
        <v>10075097.600000001</v>
      </c>
      <c r="Q749" s="123">
        <f t="shared" ref="Q749:S749" si="205">SUM(Q750:Q751)</f>
        <v>0</v>
      </c>
      <c r="R749" s="123">
        <f t="shared" si="205"/>
        <v>0</v>
      </c>
      <c r="S749" s="123">
        <f t="shared" si="205"/>
        <v>10075097.600000001</v>
      </c>
      <c r="T749" s="126">
        <f t="shared" si="196"/>
        <v>827.21766903403272</v>
      </c>
      <c r="U749" s="126">
        <f>MAX(U750:U751)</f>
        <v>1150.4436126718469</v>
      </c>
    </row>
    <row r="750" spans="1:21" s="67" customFormat="1" ht="61.5" x14ac:dyDescent="0.9">
      <c r="A750" s="67">
        <v>1</v>
      </c>
      <c r="B750" s="118">
        <f>SUBTOTAL(103,$A$529:A750)</f>
        <v>215</v>
      </c>
      <c r="C750" s="115" t="s">
        <v>686</v>
      </c>
      <c r="D750" s="122">
        <v>1981</v>
      </c>
      <c r="E750" s="127"/>
      <c r="F750" s="127" t="s">
        <v>321</v>
      </c>
      <c r="G750" s="122">
        <v>5</v>
      </c>
      <c r="H750" s="122">
        <v>7</v>
      </c>
      <c r="I750" s="123">
        <v>7160.5</v>
      </c>
      <c r="J750" s="123">
        <v>5349.7</v>
      </c>
      <c r="K750" s="123">
        <v>5077.8999999999996</v>
      </c>
      <c r="L750" s="124">
        <v>233</v>
      </c>
      <c r="M750" s="122" t="s">
        <v>272</v>
      </c>
      <c r="N750" s="122" t="s">
        <v>276</v>
      </c>
      <c r="O750" s="125" t="s">
        <v>758</v>
      </c>
      <c r="P750" s="126">
        <v>5608010</v>
      </c>
      <c r="Q750" s="126">
        <v>0</v>
      </c>
      <c r="R750" s="126">
        <v>0</v>
      </c>
      <c r="S750" s="126">
        <f t="shared" ref="S750:S751" si="206">P750-Q750-R750</f>
        <v>5608010</v>
      </c>
      <c r="T750" s="126">
        <f t="shared" si="196"/>
        <v>783.18692828713074</v>
      </c>
      <c r="U750" s="126">
        <v>1057.9247014873263</v>
      </c>
    </row>
    <row r="751" spans="1:21" s="67" customFormat="1" ht="61.5" x14ac:dyDescent="0.9">
      <c r="A751" s="67">
        <v>1</v>
      </c>
      <c r="B751" s="118">
        <f>SUBTOTAL(103,$A$529:A751)</f>
        <v>216</v>
      </c>
      <c r="C751" s="115" t="s">
        <v>683</v>
      </c>
      <c r="D751" s="122">
        <v>1987</v>
      </c>
      <c r="E751" s="127"/>
      <c r="F751" s="127" t="s">
        <v>274</v>
      </c>
      <c r="G751" s="122">
        <v>5</v>
      </c>
      <c r="H751" s="122">
        <v>6</v>
      </c>
      <c r="I751" s="123">
        <v>5019</v>
      </c>
      <c r="J751" s="123">
        <v>3931.5</v>
      </c>
      <c r="K751" s="123">
        <v>3739.7</v>
      </c>
      <c r="L751" s="124">
        <v>187</v>
      </c>
      <c r="M751" s="122" t="s">
        <v>272</v>
      </c>
      <c r="N751" s="122" t="s">
        <v>276</v>
      </c>
      <c r="O751" s="125" t="s">
        <v>758</v>
      </c>
      <c r="P751" s="126">
        <v>4467087.6000000006</v>
      </c>
      <c r="Q751" s="126">
        <v>0</v>
      </c>
      <c r="R751" s="126">
        <v>0</v>
      </c>
      <c r="S751" s="126">
        <f t="shared" si="206"/>
        <v>4467087.6000000006</v>
      </c>
      <c r="T751" s="126">
        <f t="shared" si="196"/>
        <v>890.03538553496719</v>
      </c>
      <c r="U751" s="126">
        <v>1150.4436126718469</v>
      </c>
    </row>
    <row r="752" spans="1:21" s="67" customFormat="1" ht="61.5" x14ac:dyDescent="0.9">
      <c r="B752" s="115" t="s">
        <v>869</v>
      </c>
      <c r="C752" s="115"/>
      <c r="D752" s="122" t="s">
        <v>943</v>
      </c>
      <c r="E752" s="122" t="s">
        <v>943</v>
      </c>
      <c r="F752" s="122" t="s">
        <v>943</v>
      </c>
      <c r="G752" s="122" t="s">
        <v>943</v>
      </c>
      <c r="H752" s="122" t="s">
        <v>943</v>
      </c>
      <c r="I752" s="123">
        <f>SUM(I753:I756)</f>
        <v>3741.9999999999995</v>
      </c>
      <c r="J752" s="123">
        <f t="shared" ref="J752:L752" si="207">SUM(J753:J756)</f>
        <v>3567.1</v>
      </c>
      <c r="K752" s="123">
        <f t="shared" si="207"/>
        <v>2710.9</v>
      </c>
      <c r="L752" s="124">
        <f t="shared" si="207"/>
        <v>153</v>
      </c>
      <c r="M752" s="122" t="s">
        <v>943</v>
      </c>
      <c r="N752" s="122" t="s">
        <v>943</v>
      </c>
      <c r="O752" s="125" t="s">
        <v>943</v>
      </c>
      <c r="P752" s="123">
        <v>13069363.829999998</v>
      </c>
      <c r="Q752" s="123">
        <f t="shared" ref="Q752:S752" si="208">SUM(Q753:Q756)</f>
        <v>0</v>
      </c>
      <c r="R752" s="123">
        <f t="shared" si="208"/>
        <v>0</v>
      </c>
      <c r="S752" s="123">
        <f t="shared" si="208"/>
        <v>13069363.829999998</v>
      </c>
      <c r="T752" s="126">
        <f t="shared" si="196"/>
        <v>3492.6145991448425</v>
      </c>
      <c r="U752" s="126">
        <f>MAX(U753:U756)</f>
        <v>6020.9479346052049</v>
      </c>
    </row>
    <row r="753" spans="1:21" s="67" customFormat="1" ht="61.5" x14ac:dyDescent="0.9">
      <c r="A753" s="67">
        <v>1</v>
      </c>
      <c r="B753" s="118">
        <f>SUBTOTAL(103,$A$529:A753)</f>
        <v>217</v>
      </c>
      <c r="C753" s="115" t="s">
        <v>691</v>
      </c>
      <c r="D753" s="122">
        <v>1937</v>
      </c>
      <c r="E753" s="127"/>
      <c r="F753" s="127" t="s">
        <v>340</v>
      </c>
      <c r="G753" s="122">
        <v>2</v>
      </c>
      <c r="H753" s="122">
        <v>2</v>
      </c>
      <c r="I753" s="123">
        <v>423.5</v>
      </c>
      <c r="J753" s="123">
        <v>423.5</v>
      </c>
      <c r="K753" s="123">
        <v>301.89999999999998</v>
      </c>
      <c r="L753" s="124">
        <v>26</v>
      </c>
      <c r="M753" s="122" t="s">
        <v>272</v>
      </c>
      <c r="N753" s="122" t="s">
        <v>291</v>
      </c>
      <c r="O753" s="125" t="s">
        <v>275</v>
      </c>
      <c r="P753" s="126">
        <v>1801245</v>
      </c>
      <c r="Q753" s="126">
        <v>0</v>
      </c>
      <c r="R753" s="126">
        <v>0</v>
      </c>
      <c r="S753" s="126">
        <f t="shared" ref="S753:S756" si="209">P753-Q753-R753</f>
        <v>1801245</v>
      </c>
      <c r="T753" s="126">
        <f t="shared" si="196"/>
        <v>4253.2349468713101</v>
      </c>
      <c r="U753" s="126">
        <v>5497.6544273907912</v>
      </c>
    </row>
    <row r="754" spans="1:21" s="67" customFormat="1" ht="61.5" x14ac:dyDescent="0.9">
      <c r="A754" s="67">
        <v>1</v>
      </c>
      <c r="B754" s="118">
        <f>SUBTOTAL(103,$A$529:A754)</f>
        <v>218</v>
      </c>
      <c r="C754" s="115" t="s">
        <v>692</v>
      </c>
      <c r="D754" s="122">
        <v>1952</v>
      </c>
      <c r="E754" s="127"/>
      <c r="F754" s="127" t="s">
        <v>274</v>
      </c>
      <c r="G754" s="122">
        <v>2</v>
      </c>
      <c r="H754" s="122">
        <v>2</v>
      </c>
      <c r="I754" s="123">
        <v>906.8</v>
      </c>
      <c r="J754" s="123">
        <v>836.1</v>
      </c>
      <c r="K754" s="123">
        <v>538</v>
      </c>
      <c r="L754" s="124">
        <v>33</v>
      </c>
      <c r="M754" s="122" t="s">
        <v>272</v>
      </c>
      <c r="N754" s="122" t="s">
        <v>276</v>
      </c>
      <c r="O754" s="125" t="s">
        <v>759</v>
      </c>
      <c r="P754" s="126">
        <v>4223945.63</v>
      </c>
      <c r="Q754" s="126">
        <v>0</v>
      </c>
      <c r="R754" s="126">
        <v>0</v>
      </c>
      <c r="S754" s="126">
        <f t="shared" si="209"/>
        <v>4223945.63</v>
      </c>
      <c r="T754" s="126">
        <f t="shared" si="196"/>
        <v>4658.0785509483903</v>
      </c>
      <c r="U754" s="126">
        <v>6020.9479346052049</v>
      </c>
    </row>
    <row r="755" spans="1:21" s="67" customFormat="1" ht="61.5" x14ac:dyDescent="0.9">
      <c r="A755" s="67">
        <v>1</v>
      </c>
      <c r="B755" s="118">
        <f>SUBTOTAL(103,$A$529:A755)</f>
        <v>219</v>
      </c>
      <c r="C755" s="115" t="s">
        <v>693</v>
      </c>
      <c r="D755" s="122">
        <v>1975</v>
      </c>
      <c r="E755" s="127"/>
      <c r="F755" s="127" t="s">
        <v>274</v>
      </c>
      <c r="G755" s="122">
        <v>3</v>
      </c>
      <c r="H755" s="122">
        <v>2</v>
      </c>
      <c r="I755" s="123">
        <v>1248.5999999999999</v>
      </c>
      <c r="J755" s="123">
        <v>1248.5999999999999</v>
      </c>
      <c r="K755" s="123">
        <v>1155.9000000000001</v>
      </c>
      <c r="L755" s="124">
        <v>54</v>
      </c>
      <c r="M755" s="122" t="s">
        <v>272</v>
      </c>
      <c r="N755" s="122" t="s">
        <v>276</v>
      </c>
      <c r="O755" s="125" t="s">
        <v>753</v>
      </c>
      <c r="P755" s="126">
        <v>3905308</v>
      </c>
      <c r="Q755" s="126">
        <v>0</v>
      </c>
      <c r="R755" s="126">
        <v>0</v>
      </c>
      <c r="S755" s="126">
        <f t="shared" si="209"/>
        <v>3905308</v>
      </c>
      <c r="T755" s="126">
        <f t="shared" si="196"/>
        <v>3127.749479416947</v>
      </c>
      <c r="U755" s="126">
        <v>4042.872304981579</v>
      </c>
    </row>
    <row r="756" spans="1:21" s="67" customFormat="1" ht="61.5" x14ac:dyDescent="0.9">
      <c r="A756" s="67">
        <v>1</v>
      </c>
      <c r="B756" s="118">
        <f>SUBTOTAL(103,$A$529:A756)</f>
        <v>220</v>
      </c>
      <c r="C756" s="115" t="s">
        <v>690</v>
      </c>
      <c r="D756" s="122">
        <v>1959</v>
      </c>
      <c r="E756" s="127"/>
      <c r="F756" s="127" t="s">
        <v>274</v>
      </c>
      <c r="G756" s="122">
        <v>3</v>
      </c>
      <c r="H756" s="122">
        <v>3</v>
      </c>
      <c r="I756" s="123">
        <v>1163.0999999999999</v>
      </c>
      <c r="J756" s="123">
        <v>1058.9000000000001</v>
      </c>
      <c r="K756" s="123">
        <v>715.1</v>
      </c>
      <c r="L756" s="124">
        <v>40</v>
      </c>
      <c r="M756" s="122" t="s">
        <v>272</v>
      </c>
      <c r="N756" s="122" t="s">
        <v>276</v>
      </c>
      <c r="O756" s="125" t="s">
        <v>759</v>
      </c>
      <c r="P756" s="126">
        <v>3138865.1999999997</v>
      </c>
      <c r="Q756" s="126">
        <v>0</v>
      </c>
      <c r="R756" s="126">
        <v>0</v>
      </c>
      <c r="S756" s="126">
        <f t="shared" si="209"/>
        <v>3138865.1999999997</v>
      </c>
      <c r="T756" s="126">
        <f t="shared" si="196"/>
        <v>2698.7062161465051</v>
      </c>
      <c r="U756" s="126">
        <v>3488.2987567706991</v>
      </c>
    </row>
    <row r="757" spans="1:21" s="67" customFormat="1" ht="61.5" x14ac:dyDescent="0.9">
      <c r="B757" s="115" t="s">
        <v>870</v>
      </c>
      <c r="C757" s="115"/>
      <c r="D757" s="122" t="s">
        <v>943</v>
      </c>
      <c r="E757" s="122" t="s">
        <v>943</v>
      </c>
      <c r="F757" s="122" t="s">
        <v>943</v>
      </c>
      <c r="G757" s="122" t="s">
        <v>943</v>
      </c>
      <c r="H757" s="122" t="s">
        <v>943</v>
      </c>
      <c r="I757" s="123">
        <f>SUM(I758:I759)</f>
        <v>4328.05</v>
      </c>
      <c r="J757" s="123">
        <f t="shared" ref="J757:L757" si="210">SUM(J758:J759)</f>
        <v>3546.8999999999996</v>
      </c>
      <c r="K757" s="123">
        <f t="shared" si="210"/>
        <v>3546.8999999999996</v>
      </c>
      <c r="L757" s="124">
        <f t="shared" si="210"/>
        <v>121</v>
      </c>
      <c r="M757" s="122" t="s">
        <v>943</v>
      </c>
      <c r="N757" s="122" t="s">
        <v>943</v>
      </c>
      <c r="O757" s="125" t="s">
        <v>943</v>
      </c>
      <c r="P757" s="123">
        <v>8160423</v>
      </c>
      <c r="Q757" s="123">
        <f t="shared" ref="Q757:S757" si="211">SUM(Q758:Q759)</f>
        <v>0</v>
      </c>
      <c r="R757" s="123">
        <f t="shared" si="211"/>
        <v>0</v>
      </c>
      <c r="S757" s="123">
        <f t="shared" si="211"/>
        <v>8160423</v>
      </c>
      <c r="T757" s="126">
        <f t="shared" si="196"/>
        <v>1885.4733656034473</v>
      </c>
      <c r="U757" s="126">
        <f>MAX(U758:U759)</f>
        <v>2835.7088302539701</v>
      </c>
    </row>
    <row r="758" spans="1:21" s="67" customFormat="1" ht="61.5" x14ac:dyDescent="0.9">
      <c r="A758" s="67">
        <v>1</v>
      </c>
      <c r="B758" s="118">
        <f>SUBTOTAL(103,$A$529:A758)</f>
        <v>221</v>
      </c>
      <c r="C758" s="115" t="s">
        <v>700</v>
      </c>
      <c r="D758" s="122">
        <v>1964</v>
      </c>
      <c r="E758" s="127"/>
      <c r="F758" s="127" t="s">
        <v>274</v>
      </c>
      <c r="G758" s="122">
        <v>4</v>
      </c>
      <c r="H758" s="122">
        <v>3</v>
      </c>
      <c r="I758" s="123">
        <v>2709.75</v>
      </c>
      <c r="J758" s="123">
        <v>1928.6</v>
      </c>
      <c r="K758" s="123">
        <v>1928.6</v>
      </c>
      <c r="L758" s="124">
        <v>73</v>
      </c>
      <c r="M758" s="122" t="s">
        <v>272</v>
      </c>
      <c r="N758" s="122" t="s">
        <v>276</v>
      </c>
      <c r="O758" s="125" t="s">
        <v>1062</v>
      </c>
      <c r="P758" s="126">
        <v>4610143</v>
      </c>
      <c r="Q758" s="126">
        <v>0</v>
      </c>
      <c r="R758" s="126">
        <v>0</v>
      </c>
      <c r="S758" s="126">
        <f t="shared" ref="S758:S759" si="212">P758-Q758-R758</f>
        <v>4610143</v>
      </c>
      <c r="T758" s="126">
        <f t="shared" si="196"/>
        <v>1701.3167266352984</v>
      </c>
      <c r="U758" s="126">
        <v>2199.0911744625887</v>
      </c>
    </row>
    <row r="759" spans="1:21" s="67" customFormat="1" ht="61.5" x14ac:dyDescent="0.9">
      <c r="A759" s="67">
        <v>1</v>
      </c>
      <c r="B759" s="118">
        <f>SUBTOTAL(103,$A$529:A759)</f>
        <v>222</v>
      </c>
      <c r="C759" s="115" t="s">
        <v>698</v>
      </c>
      <c r="D759" s="122">
        <v>1977</v>
      </c>
      <c r="E759" s="127"/>
      <c r="F759" s="127" t="s">
        <v>274</v>
      </c>
      <c r="G759" s="122">
        <v>3</v>
      </c>
      <c r="H759" s="122">
        <v>1</v>
      </c>
      <c r="I759" s="123">
        <v>1618.3</v>
      </c>
      <c r="J759" s="123">
        <v>1618.3</v>
      </c>
      <c r="K759" s="123">
        <v>1618.3</v>
      </c>
      <c r="L759" s="124">
        <v>48</v>
      </c>
      <c r="M759" s="122" t="s">
        <v>272</v>
      </c>
      <c r="N759" s="122" t="s">
        <v>276</v>
      </c>
      <c r="O759" s="125" t="s">
        <v>1062</v>
      </c>
      <c r="P759" s="126">
        <v>3550280</v>
      </c>
      <c r="Q759" s="126">
        <v>0</v>
      </c>
      <c r="R759" s="126">
        <v>0</v>
      </c>
      <c r="S759" s="126">
        <f t="shared" si="212"/>
        <v>3550280</v>
      </c>
      <c r="T759" s="126">
        <f t="shared" si="196"/>
        <v>2193.8330346660077</v>
      </c>
      <c r="U759" s="126">
        <v>2835.7088302539701</v>
      </c>
    </row>
    <row r="760" spans="1:21" s="67" customFormat="1" ht="61.5" x14ac:dyDescent="0.9">
      <c r="B760" s="115" t="s">
        <v>871</v>
      </c>
      <c r="C760" s="119"/>
      <c r="D760" s="122" t="s">
        <v>943</v>
      </c>
      <c r="E760" s="122" t="s">
        <v>943</v>
      </c>
      <c r="F760" s="122" t="s">
        <v>943</v>
      </c>
      <c r="G760" s="122" t="s">
        <v>943</v>
      </c>
      <c r="H760" s="122" t="s">
        <v>943</v>
      </c>
      <c r="I760" s="123">
        <f>SUM(I761:I762)</f>
        <v>3295</v>
      </c>
      <c r="J760" s="123">
        <f t="shared" ref="J760:L760" si="213">SUM(J761:J762)</f>
        <v>2127.9</v>
      </c>
      <c r="K760" s="123">
        <f t="shared" si="213"/>
        <v>1938.9</v>
      </c>
      <c r="L760" s="124">
        <f t="shared" si="213"/>
        <v>127</v>
      </c>
      <c r="M760" s="122" t="s">
        <v>943</v>
      </c>
      <c r="N760" s="122" t="s">
        <v>943</v>
      </c>
      <c r="O760" s="125" t="s">
        <v>943</v>
      </c>
      <c r="P760" s="123">
        <v>3875920.4000000004</v>
      </c>
      <c r="Q760" s="123">
        <f t="shared" ref="Q760:S760" si="214">SUM(Q761:Q762)</f>
        <v>0</v>
      </c>
      <c r="R760" s="123">
        <f t="shared" si="214"/>
        <v>0</v>
      </c>
      <c r="S760" s="123">
        <f t="shared" si="214"/>
        <v>3875920.4000000004</v>
      </c>
      <c r="T760" s="126">
        <f t="shared" si="196"/>
        <v>1176.3036115326254</v>
      </c>
      <c r="U760" s="126">
        <f>MAX(U761:U762)</f>
        <v>4386.6361092747429</v>
      </c>
    </row>
    <row r="761" spans="1:21" s="67" customFormat="1" ht="61.5" x14ac:dyDescent="0.9">
      <c r="A761" s="67">
        <v>1</v>
      </c>
      <c r="B761" s="118">
        <f>SUBTOTAL(103,$A$529:A761)</f>
        <v>223</v>
      </c>
      <c r="C761" s="115" t="s">
        <v>809</v>
      </c>
      <c r="D761" s="122">
        <v>1985</v>
      </c>
      <c r="E761" s="127"/>
      <c r="F761" s="127" t="s">
        <v>274</v>
      </c>
      <c r="G761" s="122">
        <v>5</v>
      </c>
      <c r="H761" s="122">
        <v>4</v>
      </c>
      <c r="I761" s="123">
        <v>2780.7</v>
      </c>
      <c r="J761" s="123">
        <v>1662.8</v>
      </c>
      <c r="K761" s="123">
        <v>1629.7</v>
      </c>
      <c r="L761" s="124">
        <v>103</v>
      </c>
      <c r="M761" s="122" t="s">
        <v>272</v>
      </c>
      <c r="N761" s="122" t="s">
        <v>351</v>
      </c>
      <c r="O761" s="125" t="s">
        <v>768</v>
      </c>
      <c r="P761" s="126">
        <v>2579501.7000000002</v>
      </c>
      <c r="Q761" s="126">
        <v>0</v>
      </c>
      <c r="R761" s="126">
        <v>0</v>
      </c>
      <c r="S761" s="126">
        <f t="shared" ref="S761:S762" si="215">P761-Q761-R761</f>
        <v>2579501.7000000002</v>
      </c>
      <c r="T761" s="126">
        <f t="shared" si="196"/>
        <v>927.64472974430907</v>
      </c>
      <c r="U761" s="126">
        <v>2184.2388607185244</v>
      </c>
    </row>
    <row r="762" spans="1:21" s="67" customFormat="1" ht="61.5" x14ac:dyDescent="0.9">
      <c r="A762" s="67">
        <v>1</v>
      </c>
      <c r="B762" s="118">
        <f>SUBTOTAL(103,$A$529:A762)</f>
        <v>224</v>
      </c>
      <c r="C762" s="115" t="s">
        <v>734</v>
      </c>
      <c r="D762" s="122">
        <v>1966</v>
      </c>
      <c r="E762" s="127"/>
      <c r="F762" s="127" t="s">
        <v>274</v>
      </c>
      <c r="G762" s="122">
        <v>2</v>
      </c>
      <c r="H762" s="122">
        <v>2</v>
      </c>
      <c r="I762" s="123">
        <v>514.29999999999995</v>
      </c>
      <c r="J762" s="123">
        <v>465.1</v>
      </c>
      <c r="K762" s="123">
        <v>309.2</v>
      </c>
      <c r="L762" s="124">
        <v>24</v>
      </c>
      <c r="M762" s="122" t="s">
        <v>272</v>
      </c>
      <c r="N762" s="122" t="s">
        <v>273</v>
      </c>
      <c r="O762" s="125" t="s">
        <v>275</v>
      </c>
      <c r="P762" s="126">
        <v>1296418.7</v>
      </c>
      <c r="Q762" s="126">
        <v>0</v>
      </c>
      <c r="R762" s="126">
        <v>0</v>
      </c>
      <c r="S762" s="126">
        <f t="shared" si="215"/>
        <v>1296418.7</v>
      </c>
      <c r="T762" s="126">
        <f t="shared" si="196"/>
        <v>2520.7441182189386</v>
      </c>
      <c r="U762" s="126">
        <v>4386.6361092747429</v>
      </c>
    </row>
    <row r="763" spans="1:21" s="67" customFormat="1" ht="61.5" x14ac:dyDescent="0.9">
      <c r="B763" s="115" t="s">
        <v>873</v>
      </c>
      <c r="C763" s="115"/>
      <c r="D763" s="122" t="s">
        <v>943</v>
      </c>
      <c r="E763" s="122" t="s">
        <v>943</v>
      </c>
      <c r="F763" s="122" t="s">
        <v>943</v>
      </c>
      <c r="G763" s="122" t="s">
        <v>943</v>
      </c>
      <c r="H763" s="122" t="s">
        <v>943</v>
      </c>
      <c r="I763" s="123">
        <f>SUM(I764:I765)</f>
        <v>983.7</v>
      </c>
      <c r="J763" s="123">
        <f t="shared" ref="J763:K763" si="216">SUM(J764:J765)</f>
        <v>875.3</v>
      </c>
      <c r="K763" s="123">
        <f t="shared" si="216"/>
        <v>203.5</v>
      </c>
      <c r="L763" s="124">
        <f>SUM(L764:L765)</f>
        <v>39</v>
      </c>
      <c r="M763" s="122" t="s">
        <v>943</v>
      </c>
      <c r="N763" s="122" t="s">
        <v>943</v>
      </c>
      <c r="O763" s="125" t="s">
        <v>943</v>
      </c>
      <c r="P763" s="123">
        <v>3008567.42</v>
      </c>
      <c r="Q763" s="123">
        <f t="shared" ref="Q763:S763" si="217">SUM(Q764:Q765)</f>
        <v>0</v>
      </c>
      <c r="R763" s="123">
        <f t="shared" si="217"/>
        <v>0</v>
      </c>
      <c r="S763" s="123">
        <f t="shared" si="217"/>
        <v>3008567.42</v>
      </c>
      <c r="T763" s="126">
        <f t="shared" si="196"/>
        <v>3058.419660465589</v>
      </c>
      <c r="U763" s="126">
        <f>MAX(U764:U765)</f>
        <v>6174.6924545712673</v>
      </c>
    </row>
    <row r="764" spans="1:21" s="67" customFormat="1" ht="61.5" x14ac:dyDescent="0.9">
      <c r="A764" s="67">
        <v>1</v>
      </c>
      <c r="B764" s="118">
        <f>SUBTOTAL(103,$A$529:A764)</f>
        <v>225</v>
      </c>
      <c r="C764" s="115" t="s">
        <v>735</v>
      </c>
      <c r="D764" s="122">
        <v>1975</v>
      </c>
      <c r="E764" s="127"/>
      <c r="F764" s="127" t="s">
        <v>274</v>
      </c>
      <c r="G764" s="122">
        <v>2</v>
      </c>
      <c r="H764" s="122">
        <v>2</v>
      </c>
      <c r="I764" s="123">
        <v>704.4</v>
      </c>
      <c r="J764" s="123">
        <v>617.79999999999995</v>
      </c>
      <c r="K764" s="123">
        <v>171.4</v>
      </c>
      <c r="L764" s="124">
        <v>22</v>
      </c>
      <c r="M764" s="122" t="s">
        <v>272</v>
      </c>
      <c r="N764" s="122" t="s">
        <v>273</v>
      </c>
      <c r="O764" s="125" t="s">
        <v>275</v>
      </c>
      <c r="P764" s="126">
        <v>2605803.73</v>
      </c>
      <c r="Q764" s="126">
        <v>0</v>
      </c>
      <c r="R764" s="126">
        <v>0</v>
      </c>
      <c r="S764" s="126">
        <f t="shared" ref="S764:S765" si="218">P764-Q764-R764</f>
        <v>2605803.73</v>
      </c>
      <c r="T764" s="126">
        <f t="shared" si="196"/>
        <v>3699.3238642816582</v>
      </c>
      <c r="U764" s="126">
        <v>6174.6924545712673</v>
      </c>
    </row>
    <row r="765" spans="1:21" s="67" customFormat="1" ht="61.5" x14ac:dyDescent="0.9">
      <c r="A765" s="67">
        <v>1</v>
      </c>
      <c r="B765" s="118">
        <f>SUBTOTAL(103,$A$529:A765)</f>
        <v>226</v>
      </c>
      <c r="C765" s="115" t="s">
        <v>725</v>
      </c>
      <c r="D765" s="122">
        <v>1961</v>
      </c>
      <c r="E765" s="127"/>
      <c r="F765" s="127" t="s">
        <v>274</v>
      </c>
      <c r="G765" s="122">
        <v>2</v>
      </c>
      <c r="H765" s="122">
        <v>1</v>
      </c>
      <c r="I765" s="123">
        <v>279.3</v>
      </c>
      <c r="J765" s="123">
        <v>257.5</v>
      </c>
      <c r="K765" s="123">
        <v>32.1</v>
      </c>
      <c r="L765" s="124">
        <v>17</v>
      </c>
      <c r="M765" s="122" t="s">
        <v>272</v>
      </c>
      <c r="N765" s="122" t="s">
        <v>273</v>
      </c>
      <c r="O765" s="125" t="s">
        <v>275</v>
      </c>
      <c r="P765" s="126">
        <v>402763.69</v>
      </c>
      <c r="Q765" s="126">
        <v>0</v>
      </c>
      <c r="R765" s="126">
        <v>0</v>
      </c>
      <c r="S765" s="126">
        <f t="shared" si="218"/>
        <v>402763.69</v>
      </c>
      <c r="T765" s="126">
        <f t="shared" si="196"/>
        <v>1442.0468671679198</v>
      </c>
      <c r="U765" s="126">
        <v>1442.0468671679198</v>
      </c>
    </row>
    <row r="766" spans="1:21" s="67" customFormat="1" ht="61.5" x14ac:dyDescent="0.9">
      <c r="B766" s="115" t="s">
        <v>918</v>
      </c>
      <c r="C766" s="115"/>
      <c r="D766" s="122" t="s">
        <v>943</v>
      </c>
      <c r="E766" s="122" t="s">
        <v>943</v>
      </c>
      <c r="F766" s="122" t="s">
        <v>943</v>
      </c>
      <c r="G766" s="122" t="s">
        <v>943</v>
      </c>
      <c r="H766" s="122" t="s">
        <v>943</v>
      </c>
      <c r="I766" s="123">
        <f>I767</f>
        <v>618.29999999999995</v>
      </c>
      <c r="J766" s="123">
        <f t="shared" ref="J766:L766" si="219">J767</f>
        <v>561.1</v>
      </c>
      <c r="K766" s="123">
        <f t="shared" si="219"/>
        <v>2850.3</v>
      </c>
      <c r="L766" s="124">
        <f t="shared" si="219"/>
        <v>30</v>
      </c>
      <c r="M766" s="122" t="s">
        <v>943</v>
      </c>
      <c r="N766" s="122" t="s">
        <v>943</v>
      </c>
      <c r="O766" s="125" t="s">
        <v>943</v>
      </c>
      <c r="P766" s="123">
        <v>3080948</v>
      </c>
      <c r="Q766" s="123">
        <f t="shared" ref="Q766:S766" si="220">Q767</f>
        <v>0</v>
      </c>
      <c r="R766" s="123">
        <f t="shared" si="220"/>
        <v>0</v>
      </c>
      <c r="S766" s="123">
        <f t="shared" si="220"/>
        <v>3080948</v>
      </c>
      <c r="T766" s="126">
        <f t="shared" si="196"/>
        <v>4982.9338508814499</v>
      </c>
      <c r="U766" s="126">
        <f>MAX(U767)</f>
        <v>5675.6532427624134</v>
      </c>
    </row>
    <row r="767" spans="1:21" s="67" customFormat="1" ht="61.5" x14ac:dyDescent="0.9">
      <c r="A767" s="67">
        <v>1</v>
      </c>
      <c r="B767" s="118">
        <f>SUBTOTAL(103,$A$529:A767)</f>
        <v>227</v>
      </c>
      <c r="C767" s="115" t="s">
        <v>719</v>
      </c>
      <c r="D767" s="122">
        <v>1984</v>
      </c>
      <c r="E767" s="127"/>
      <c r="F767" s="127" t="s">
        <v>328</v>
      </c>
      <c r="G767" s="122">
        <v>2</v>
      </c>
      <c r="H767" s="122">
        <v>2</v>
      </c>
      <c r="I767" s="123">
        <v>618.29999999999995</v>
      </c>
      <c r="J767" s="123">
        <v>561.1</v>
      </c>
      <c r="K767" s="123">
        <v>2850.3</v>
      </c>
      <c r="L767" s="124">
        <v>30</v>
      </c>
      <c r="M767" s="122" t="s">
        <v>272</v>
      </c>
      <c r="N767" s="122" t="s">
        <v>273</v>
      </c>
      <c r="O767" s="125" t="s">
        <v>275</v>
      </c>
      <c r="P767" s="126">
        <v>3080948</v>
      </c>
      <c r="Q767" s="126">
        <v>0</v>
      </c>
      <c r="R767" s="126">
        <v>0</v>
      </c>
      <c r="S767" s="126">
        <f>P767-Q767-R767</f>
        <v>3080948</v>
      </c>
      <c r="T767" s="126">
        <f t="shared" si="196"/>
        <v>4982.9338508814499</v>
      </c>
      <c r="U767" s="126">
        <v>5675.6532427624134</v>
      </c>
    </row>
    <row r="768" spans="1:21" s="67" customFormat="1" ht="61.5" x14ac:dyDescent="0.9">
      <c r="B768" s="115" t="s">
        <v>874</v>
      </c>
      <c r="C768" s="115"/>
      <c r="D768" s="122" t="s">
        <v>943</v>
      </c>
      <c r="E768" s="122" t="s">
        <v>943</v>
      </c>
      <c r="F768" s="122" t="s">
        <v>943</v>
      </c>
      <c r="G768" s="122" t="s">
        <v>943</v>
      </c>
      <c r="H768" s="122" t="s">
        <v>943</v>
      </c>
      <c r="I768" s="123">
        <f>I769</f>
        <v>3156.2</v>
      </c>
      <c r="J768" s="123">
        <f t="shared" ref="J768:L768" si="221">J769</f>
        <v>2811.5</v>
      </c>
      <c r="K768" s="123">
        <f t="shared" si="221"/>
        <v>759.56</v>
      </c>
      <c r="L768" s="124">
        <f t="shared" si="221"/>
        <v>156</v>
      </c>
      <c r="M768" s="122" t="s">
        <v>943</v>
      </c>
      <c r="N768" s="122" t="s">
        <v>943</v>
      </c>
      <c r="O768" s="125" t="s">
        <v>943</v>
      </c>
      <c r="P768" s="123">
        <v>2000000</v>
      </c>
      <c r="Q768" s="123">
        <f t="shared" ref="Q768:S768" si="222">Q769</f>
        <v>0</v>
      </c>
      <c r="R768" s="123">
        <f t="shared" si="222"/>
        <v>0</v>
      </c>
      <c r="S768" s="123">
        <f t="shared" si="222"/>
        <v>2000000</v>
      </c>
      <c r="T768" s="126">
        <f t="shared" si="196"/>
        <v>633.67340472720366</v>
      </c>
      <c r="U768" s="126">
        <f>MAX(U769)</f>
        <v>1443.0675790507571</v>
      </c>
    </row>
    <row r="769" spans="1:21" s="67" customFormat="1" ht="61.5" x14ac:dyDescent="0.9">
      <c r="A769" s="67">
        <v>1</v>
      </c>
      <c r="B769" s="118">
        <f>SUBTOTAL(103,$A$529:A769)</f>
        <v>228</v>
      </c>
      <c r="C769" s="115" t="s">
        <v>736</v>
      </c>
      <c r="D769" s="122">
        <v>1990</v>
      </c>
      <c r="E769" s="127"/>
      <c r="F769" s="127" t="s">
        <v>772</v>
      </c>
      <c r="G769" s="122">
        <v>5</v>
      </c>
      <c r="H769" s="122">
        <v>4</v>
      </c>
      <c r="I769" s="123">
        <v>3156.2</v>
      </c>
      <c r="J769" s="123">
        <v>2811.5</v>
      </c>
      <c r="K769" s="123">
        <v>759.56</v>
      </c>
      <c r="L769" s="124">
        <v>156</v>
      </c>
      <c r="M769" s="122" t="s">
        <v>272</v>
      </c>
      <c r="N769" s="122" t="s">
        <v>276</v>
      </c>
      <c r="O769" s="125" t="s">
        <v>769</v>
      </c>
      <c r="P769" s="126">
        <v>2000000</v>
      </c>
      <c r="Q769" s="126">
        <v>0</v>
      </c>
      <c r="R769" s="126">
        <v>0</v>
      </c>
      <c r="S769" s="126">
        <f>P769-Q769-R769</f>
        <v>2000000</v>
      </c>
      <c r="T769" s="126">
        <f t="shared" si="196"/>
        <v>633.67340472720366</v>
      </c>
      <c r="U769" s="126">
        <v>1443.0675790507571</v>
      </c>
    </row>
    <row r="770" spans="1:21" s="67" customFormat="1" ht="61.5" x14ac:dyDescent="0.9">
      <c r="B770" s="115" t="s">
        <v>875</v>
      </c>
      <c r="C770" s="115"/>
      <c r="D770" s="122" t="s">
        <v>943</v>
      </c>
      <c r="E770" s="122" t="s">
        <v>943</v>
      </c>
      <c r="F770" s="122" t="s">
        <v>943</v>
      </c>
      <c r="G770" s="122" t="s">
        <v>943</v>
      </c>
      <c r="H770" s="122" t="s">
        <v>943</v>
      </c>
      <c r="I770" s="123">
        <f>SUM(I771:I776)</f>
        <v>16441</v>
      </c>
      <c r="J770" s="123">
        <f t="shared" ref="J770:L770" si="223">SUM(J771:J776)</f>
        <v>12174.9</v>
      </c>
      <c r="K770" s="123">
        <f t="shared" si="223"/>
        <v>11434.4</v>
      </c>
      <c r="L770" s="124">
        <f t="shared" si="223"/>
        <v>486</v>
      </c>
      <c r="M770" s="122" t="s">
        <v>943</v>
      </c>
      <c r="N770" s="122" t="s">
        <v>943</v>
      </c>
      <c r="O770" s="125" t="s">
        <v>943</v>
      </c>
      <c r="P770" s="123">
        <v>23342012.82</v>
      </c>
      <c r="Q770" s="123">
        <f t="shared" ref="Q770:S770" si="224">SUM(Q771:Q776)</f>
        <v>0</v>
      </c>
      <c r="R770" s="123">
        <f t="shared" si="224"/>
        <v>0</v>
      </c>
      <c r="S770" s="123">
        <f t="shared" si="224"/>
        <v>23342012.82</v>
      </c>
      <c r="T770" s="126">
        <f t="shared" si="196"/>
        <v>1419.7441043732133</v>
      </c>
      <c r="U770" s="126">
        <f>MAX(U771:U776)</f>
        <v>6428.2915891592238</v>
      </c>
    </row>
    <row r="771" spans="1:21" s="67" customFormat="1" ht="61.5" x14ac:dyDescent="0.9">
      <c r="A771" s="67">
        <v>1</v>
      </c>
      <c r="B771" s="118">
        <f>SUBTOTAL(103,$A$529:A771)</f>
        <v>229</v>
      </c>
      <c r="C771" s="115" t="s">
        <v>716</v>
      </c>
      <c r="D771" s="122">
        <v>1993</v>
      </c>
      <c r="E771" s="127"/>
      <c r="F771" s="127" t="s">
        <v>321</v>
      </c>
      <c r="G771" s="122">
        <v>5</v>
      </c>
      <c r="H771" s="122">
        <v>5</v>
      </c>
      <c r="I771" s="123">
        <v>3247</v>
      </c>
      <c r="J771" s="123">
        <v>3245</v>
      </c>
      <c r="K771" s="123">
        <v>3245</v>
      </c>
      <c r="L771" s="124">
        <v>121</v>
      </c>
      <c r="M771" s="122" t="s">
        <v>272</v>
      </c>
      <c r="N771" s="122" t="s">
        <v>351</v>
      </c>
      <c r="O771" s="125" t="s">
        <v>770</v>
      </c>
      <c r="P771" s="126">
        <v>2541661.4500000002</v>
      </c>
      <c r="Q771" s="126">
        <v>0</v>
      </c>
      <c r="R771" s="126">
        <v>0</v>
      </c>
      <c r="S771" s="126">
        <f t="shared" ref="S771:S776" si="225">P771-Q771-R771</f>
        <v>2541661.4500000002</v>
      </c>
      <c r="T771" s="126">
        <f t="shared" si="196"/>
        <v>782.77223591007089</v>
      </c>
      <c r="U771" s="126">
        <v>6428.2915891592238</v>
      </c>
    </row>
    <row r="772" spans="1:21" s="67" customFormat="1" ht="61.5" x14ac:dyDescent="0.9">
      <c r="A772" s="67">
        <v>1</v>
      </c>
      <c r="B772" s="118">
        <f>SUBTOTAL(103,$A$529:A772)</f>
        <v>230</v>
      </c>
      <c r="C772" s="115" t="s">
        <v>704</v>
      </c>
      <c r="D772" s="122">
        <v>1972</v>
      </c>
      <c r="E772" s="127"/>
      <c r="F772" s="127" t="s">
        <v>274</v>
      </c>
      <c r="G772" s="122">
        <v>5</v>
      </c>
      <c r="H772" s="122">
        <v>4</v>
      </c>
      <c r="I772" s="123">
        <v>5949.7</v>
      </c>
      <c r="J772" s="123">
        <v>3026.6</v>
      </c>
      <c r="K772" s="123">
        <v>2850.3</v>
      </c>
      <c r="L772" s="124">
        <v>117</v>
      </c>
      <c r="M772" s="122" t="s">
        <v>272</v>
      </c>
      <c r="N772" s="122" t="s">
        <v>276</v>
      </c>
      <c r="O772" s="125" t="s">
        <v>1165</v>
      </c>
      <c r="P772" s="126">
        <v>5370787.6200000001</v>
      </c>
      <c r="Q772" s="126">
        <v>0</v>
      </c>
      <c r="R772" s="126">
        <v>0</v>
      </c>
      <c r="S772" s="126">
        <f t="shared" si="225"/>
        <v>5370787.6200000001</v>
      </c>
      <c r="T772" s="126">
        <f t="shared" si="196"/>
        <v>902.69889574264255</v>
      </c>
      <c r="U772" s="126">
        <v>1255.6375934921089</v>
      </c>
    </row>
    <row r="773" spans="1:21" s="67" customFormat="1" ht="61.5" x14ac:dyDescent="0.9">
      <c r="A773" s="67">
        <v>1</v>
      </c>
      <c r="B773" s="118">
        <f>SUBTOTAL(103,$A$529:A773)</f>
        <v>231</v>
      </c>
      <c r="C773" s="115" t="s">
        <v>732</v>
      </c>
      <c r="D773" s="122">
        <v>1981</v>
      </c>
      <c r="E773" s="127"/>
      <c r="F773" s="127" t="s">
        <v>274</v>
      </c>
      <c r="G773" s="122">
        <v>2</v>
      </c>
      <c r="H773" s="122">
        <v>3</v>
      </c>
      <c r="I773" s="123">
        <v>843.1</v>
      </c>
      <c r="J773" s="123">
        <v>820.9</v>
      </c>
      <c r="K773" s="123">
        <v>820.9</v>
      </c>
      <c r="L773" s="124">
        <v>34</v>
      </c>
      <c r="M773" s="122" t="s">
        <v>272</v>
      </c>
      <c r="N773" s="122" t="s">
        <v>273</v>
      </c>
      <c r="O773" s="125" t="s">
        <v>275</v>
      </c>
      <c r="P773" s="126">
        <v>4073004</v>
      </c>
      <c r="Q773" s="126">
        <v>0</v>
      </c>
      <c r="R773" s="126">
        <v>0</v>
      </c>
      <c r="S773" s="126">
        <f t="shared" si="225"/>
        <v>4073004</v>
      </c>
      <c r="T773" s="126">
        <f t="shared" si="196"/>
        <v>4830.98564820306</v>
      </c>
      <c r="U773" s="126">
        <v>6243.4878424860626</v>
      </c>
    </row>
    <row r="774" spans="1:21" s="67" customFormat="1" ht="61.5" x14ac:dyDescent="0.9">
      <c r="A774" s="67">
        <v>1</v>
      </c>
      <c r="B774" s="118">
        <f>SUBTOTAL(103,$A$529:A774)</f>
        <v>232</v>
      </c>
      <c r="C774" s="115" t="s">
        <v>709</v>
      </c>
      <c r="D774" s="122">
        <v>1940</v>
      </c>
      <c r="E774" s="127"/>
      <c r="F774" s="127" t="s">
        <v>274</v>
      </c>
      <c r="G774" s="122">
        <v>3</v>
      </c>
      <c r="H774" s="122">
        <v>3</v>
      </c>
      <c r="I774" s="123">
        <v>2521.1999999999998</v>
      </c>
      <c r="J774" s="123">
        <v>2421.1999999999998</v>
      </c>
      <c r="K774" s="123">
        <v>1980.9</v>
      </c>
      <c r="L774" s="124">
        <v>67</v>
      </c>
      <c r="M774" s="122" t="s">
        <v>272</v>
      </c>
      <c r="N774" s="122" t="s">
        <v>351</v>
      </c>
      <c r="O774" s="125" t="s">
        <v>771</v>
      </c>
      <c r="P774" s="126">
        <v>3707478</v>
      </c>
      <c r="Q774" s="126">
        <v>0</v>
      </c>
      <c r="R774" s="126">
        <v>0</v>
      </c>
      <c r="S774" s="126">
        <f t="shared" si="225"/>
        <v>3707478</v>
      </c>
      <c r="T774" s="126">
        <f t="shared" si="196"/>
        <v>1470.5211803902905</v>
      </c>
      <c r="U774" s="126">
        <v>1900.4778280184041</v>
      </c>
    </row>
    <row r="775" spans="1:21" s="67" customFormat="1" ht="61.5" x14ac:dyDescent="0.9">
      <c r="A775" s="67">
        <v>1</v>
      </c>
      <c r="B775" s="118">
        <f>SUBTOTAL(103,$A$529:A775)</f>
        <v>233</v>
      </c>
      <c r="C775" s="115" t="s">
        <v>714</v>
      </c>
      <c r="D775" s="122">
        <v>1979</v>
      </c>
      <c r="E775" s="127"/>
      <c r="F775" s="127" t="s">
        <v>274</v>
      </c>
      <c r="G775" s="122">
        <v>2</v>
      </c>
      <c r="H775" s="122">
        <v>2</v>
      </c>
      <c r="I775" s="123">
        <v>1052.4000000000001</v>
      </c>
      <c r="J775" s="123">
        <v>930.4</v>
      </c>
      <c r="K775" s="123">
        <v>930.4</v>
      </c>
      <c r="L775" s="124">
        <v>24</v>
      </c>
      <c r="M775" s="122" t="s">
        <v>272</v>
      </c>
      <c r="N775" s="122" t="s">
        <v>305</v>
      </c>
      <c r="O775" s="125" t="s">
        <v>1161</v>
      </c>
      <c r="P775" s="126">
        <v>3916350</v>
      </c>
      <c r="Q775" s="126">
        <v>0</v>
      </c>
      <c r="R775" s="126">
        <v>0</v>
      </c>
      <c r="S775" s="126">
        <f t="shared" si="225"/>
        <v>3916350</v>
      </c>
      <c r="T775" s="126">
        <f t="shared" si="196"/>
        <v>3721.3511972633978</v>
      </c>
      <c r="U775" s="126">
        <v>4809.4141961231471</v>
      </c>
    </row>
    <row r="776" spans="1:21" s="67" customFormat="1" ht="61.5" x14ac:dyDescent="0.9">
      <c r="A776" s="67">
        <v>1</v>
      </c>
      <c r="B776" s="118">
        <f>SUBTOTAL(103,$A$529:A776)</f>
        <v>234</v>
      </c>
      <c r="C776" s="115" t="s">
        <v>713</v>
      </c>
      <c r="D776" s="122">
        <v>1977</v>
      </c>
      <c r="E776" s="127"/>
      <c r="F776" s="127" t="s">
        <v>274</v>
      </c>
      <c r="G776" s="122">
        <v>5</v>
      </c>
      <c r="H776" s="122">
        <v>4</v>
      </c>
      <c r="I776" s="123">
        <v>2827.6</v>
      </c>
      <c r="J776" s="123">
        <v>1730.8</v>
      </c>
      <c r="K776" s="123">
        <v>1606.9</v>
      </c>
      <c r="L776" s="124">
        <v>123</v>
      </c>
      <c r="M776" s="122" t="s">
        <v>272</v>
      </c>
      <c r="N776" s="122" t="s">
        <v>276</v>
      </c>
      <c r="O776" s="125" t="s">
        <v>767</v>
      </c>
      <c r="P776" s="126">
        <v>3732731.75</v>
      </c>
      <c r="Q776" s="126">
        <v>0</v>
      </c>
      <c r="R776" s="126">
        <v>0</v>
      </c>
      <c r="S776" s="126">
        <f t="shared" si="225"/>
        <v>3732731.75</v>
      </c>
      <c r="T776" s="126">
        <f t="shared" si="196"/>
        <v>1320.1060086292262</v>
      </c>
      <c r="U776" s="126">
        <v>1683.8011511529212</v>
      </c>
    </row>
    <row r="777" spans="1:21" s="67" customFormat="1" ht="61.5" x14ac:dyDescent="0.9">
      <c r="B777" s="115" t="s">
        <v>876</v>
      </c>
      <c r="C777" s="119"/>
      <c r="D777" s="122" t="s">
        <v>943</v>
      </c>
      <c r="E777" s="122" t="s">
        <v>943</v>
      </c>
      <c r="F777" s="122" t="s">
        <v>943</v>
      </c>
      <c r="G777" s="122" t="s">
        <v>943</v>
      </c>
      <c r="H777" s="122" t="s">
        <v>943</v>
      </c>
      <c r="I777" s="123">
        <f>SUM(I778:I779)</f>
        <v>5350.31</v>
      </c>
      <c r="J777" s="123">
        <f t="shared" ref="J777:L777" si="226">SUM(J778:J779)</f>
        <v>5262.81</v>
      </c>
      <c r="K777" s="123">
        <f t="shared" si="226"/>
        <v>5219.51</v>
      </c>
      <c r="L777" s="124">
        <f t="shared" si="226"/>
        <v>213</v>
      </c>
      <c r="M777" s="122" t="s">
        <v>943</v>
      </c>
      <c r="N777" s="122" t="s">
        <v>943</v>
      </c>
      <c r="O777" s="125" t="s">
        <v>943</v>
      </c>
      <c r="P777" s="126">
        <v>11973050.91</v>
      </c>
      <c r="Q777" s="126">
        <f t="shared" ref="Q777:S777" si="227">Q778+Q779</f>
        <v>0</v>
      </c>
      <c r="R777" s="126">
        <f t="shared" si="227"/>
        <v>0</v>
      </c>
      <c r="S777" s="126">
        <f t="shared" si="227"/>
        <v>11973050.91</v>
      </c>
      <c r="T777" s="126">
        <f t="shared" si="196"/>
        <v>2237.8237728281165</v>
      </c>
      <c r="U777" s="126">
        <f>MAX(U778:U779)</f>
        <v>4568.898785382341</v>
      </c>
    </row>
    <row r="778" spans="1:21" s="67" customFormat="1" ht="61.5" x14ac:dyDescent="0.9">
      <c r="A778" s="67">
        <v>1</v>
      </c>
      <c r="B778" s="118">
        <f>SUBTOTAL(103,$A$529:A778)</f>
        <v>235</v>
      </c>
      <c r="C778" s="115" t="s">
        <v>241</v>
      </c>
      <c r="D778" s="122">
        <v>1973</v>
      </c>
      <c r="E778" s="127"/>
      <c r="F778" s="127" t="s">
        <v>274</v>
      </c>
      <c r="G778" s="122">
        <v>5</v>
      </c>
      <c r="H778" s="122">
        <v>6</v>
      </c>
      <c r="I778" s="123">
        <v>4403.51</v>
      </c>
      <c r="J778" s="123">
        <v>4403.51</v>
      </c>
      <c r="K778" s="123">
        <v>4403.51</v>
      </c>
      <c r="L778" s="124">
        <v>179</v>
      </c>
      <c r="M778" s="122" t="s">
        <v>272</v>
      </c>
      <c r="N778" s="122" t="s">
        <v>276</v>
      </c>
      <c r="O778" s="125" t="s">
        <v>344</v>
      </c>
      <c r="P778" s="126">
        <v>7695900</v>
      </c>
      <c r="Q778" s="126">
        <v>0</v>
      </c>
      <c r="R778" s="126">
        <v>0</v>
      </c>
      <c r="S778" s="126">
        <f t="shared" ref="S778:S779" si="228">P778-Q778-R778</f>
        <v>7695900</v>
      </c>
      <c r="T778" s="126">
        <f t="shared" si="196"/>
        <v>1747.6740145929043</v>
      </c>
      <c r="U778" s="126">
        <v>2312.6079264041637</v>
      </c>
    </row>
    <row r="779" spans="1:21" s="67" customFormat="1" ht="61.5" x14ac:dyDescent="0.9">
      <c r="A779" s="67">
        <v>1</v>
      </c>
      <c r="B779" s="118">
        <f>SUBTOTAL(103,$A$529:A779)</f>
        <v>236</v>
      </c>
      <c r="C779" s="115" t="s">
        <v>246</v>
      </c>
      <c r="D779" s="122">
        <v>1989</v>
      </c>
      <c r="E779" s="127"/>
      <c r="F779" s="127" t="s">
        <v>274</v>
      </c>
      <c r="G779" s="122">
        <v>2</v>
      </c>
      <c r="H779" s="122">
        <v>3</v>
      </c>
      <c r="I779" s="123">
        <v>946.8</v>
      </c>
      <c r="J779" s="123">
        <v>859.3</v>
      </c>
      <c r="K779" s="123">
        <v>816</v>
      </c>
      <c r="L779" s="124">
        <v>34</v>
      </c>
      <c r="M779" s="122" t="s">
        <v>272</v>
      </c>
      <c r="N779" s="122" t="s">
        <v>276</v>
      </c>
      <c r="O779" s="125" t="s">
        <v>343</v>
      </c>
      <c r="P779" s="126">
        <v>4277150.91</v>
      </c>
      <c r="Q779" s="126">
        <v>0</v>
      </c>
      <c r="R779" s="126">
        <v>0</v>
      </c>
      <c r="S779" s="126">
        <f t="shared" si="228"/>
        <v>4277150.91</v>
      </c>
      <c r="T779" s="126">
        <f t="shared" si="196"/>
        <v>4517.4808935361225</v>
      </c>
      <c r="U779" s="126">
        <v>4568.898785382341</v>
      </c>
    </row>
    <row r="780" spans="1:21" s="67" customFormat="1" ht="61.5" x14ac:dyDescent="0.9">
      <c r="B780" s="115" t="s">
        <v>1376</v>
      </c>
      <c r="C780" s="115"/>
      <c r="D780" s="122" t="s">
        <v>943</v>
      </c>
      <c r="E780" s="122" t="s">
        <v>943</v>
      </c>
      <c r="F780" s="122" t="s">
        <v>943</v>
      </c>
      <c r="G780" s="122" t="s">
        <v>943</v>
      </c>
      <c r="H780" s="122" t="s">
        <v>943</v>
      </c>
      <c r="I780" s="123">
        <f>I781</f>
        <v>1322.4</v>
      </c>
      <c r="J780" s="123">
        <f t="shared" ref="J780:L780" si="229">J781</f>
        <v>1191.4000000000001</v>
      </c>
      <c r="K780" s="123">
        <f t="shared" si="229"/>
        <v>1136.8000000000002</v>
      </c>
      <c r="L780" s="124">
        <f t="shared" si="229"/>
        <v>36</v>
      </c>
      <c r="M780" s="122" t="s">
        <v>943</v>
      </c>
      <c r="N780" s="122" t="s">
        <v>943</v>
      </c>
      <c r="O780" s="125" t="s">
        <v>943</v>
      </c>
      <c r="P780" s="126">
        <v>3284631.43</v>
      </c>
      <c r="Q780" s="126">
        <f t="shared" ref="Q780:S780" si="230">Q781</f>
        <v>0</v>
      </c>
      <c r="R780" s="126">
        <f t="shared" si="230"/>
        <v>0</v>
      </c>
      <c r="S780" s="126">
        <f t="shared" si="230"/>
        <v>3284631.43</v>
      </c>
      <c r="T780" s="126">
        <f t="shared" si="196"/>
        <v>2483.8410692679977</v>
      </c>
      <c r="U780" s="126">
        <f>MAX(U781)</f>
        <v>4802.5094089534177</v>
      </c>
    </row>
    <row r="781" spans="1:21" s="67" customFormat="1" ht="61.5" x14ac:dyDescent="0.9">
      <c r="A781" s="67">
        <v>1</v>
      </c>
      <c r="B781" s="118">
        <f>SUBTOTAL(103,$A$529:A781)</f>
        <v>237</v>
      </c>
      <c r="C781" s="115" t="s">
        <v>1377</v>
      </c>
      <c r="D781" s="122">
        <v>1981</v>
      </c>
      <c r="E781" s="127"/>
      <c r="F781" s="127" t="s">
        <v>328</v>
      </c>
      <c r="G781" s="122">
        <v>2</v>
      </c>
      <c r="H781" s="122">
        <v>4</v>
      </c>
      <c r="I781" s="123">
        <v>1322.4</v>
      </c>
      <c r="J781" s="123">
        <v>1191.4000000000001</v>
      </c>
      <c r="K781" s="123">
        <v>1136.8000000000002</v>
      </c>
      <c r="L781" s="124">
        <v>36</v>
      </c>
      <c r="M781" s="122" t="s">
        <v>272</v>
      </c>
      <c r="N781" s="122" t="s">
        <v>273</v>
      </c>
      <c r="O781" s="125" t="s">
        <v>275</v>
      </c>
      <c r="P781" s="126">
        <v>3284631.43</v>
      </c>
      <c r="Q781" s="126">
        <v>0</v>
      </c>
      <c r="R781" s="126">
        <v>0</v>
      </c>
      <c r="S781" s="126">
        <f>P781-Q781-R781</f>
        <v>3284631.43</v>
      </c>
      <c r="T781" s="126">
        <f t="shared" si="196"/>
        <v>2483.8410692679977</v>
      </c>
      <c r="U781" s="126">
        <v>4802.5094089534177</v>
      </c>
    </row>
    <row r="782" spans="1:21" s="67" customFormat="1" ht="61.5" x14ac:dyDescent="0.9">
      <c r="B782" s="115" t="s">
        <v>919</v>
      </c>
      <c r="C782" s="115"/>
      <c r="D782" s="122" t="s">
        <v>943</v>
      </c>
      <c r="E782" s="122" t="s">
        <v>943</v>
      </c>
      <c r="F782" s="122" t="s">
        <v>943</v>
      </c>
      <c r="G782" s="122" t="s">
        <v>943</v>
      </c>
      <c r="H782" s="122" t="s">
        <v>943</v>
      </c>
      <c r="I782" s="123">
        <f>I783</f>
        <v>924.3</v>
      </c>
      <c r="J782" s="123">
        <f t="shared" ref="J782:L782" si="231">J783</f>
        <v>558.9</v>
      </c>
      <c r="K782" s="123">
        <f t="shared" si="231"/>
        <v>527.1</v>
      </c>
      <c r="L782" s="124">
        <f t="shared" si="231"/>
        <v>24</v>
      </c>
      <c r="M782" s="122" t="s">
        <v>943</v>
      </c>
      <c r="N782" s="122" t="s">
        <v>943</v>
      </c>
      <c r="O782" s="125" t="s">
        <v>943</v>
      </c>
      <c r="P782" s="126">
        <v>2255220</v>
      </c>
      <c r="Q782" s="126">
        <f t="shared" ref="Q782:S782" si="232">Q783</f>
        <v>0</v>
      </c>
      <c r="R782" s="126">
        <f t="shared" si="232"/>
        <v>0</v>
      </c>
      <c r="S782" s="126">
        <f t="shared" si="232"/>
        <v>2255220</v>
      </c>
      <c r="T782" s="126">
        <f t="shared" ref="T782:T845" si="233">P782/I782</f>
        <v>2439.9221032132427</v>
      </c>
      <c r="U782" s="126">
        <f>MAX(U783)</f>
        <v>3228.6245309964297</v>
      </c>
    </row>
    <row r="783" spans="1:21" s="67" customFormat="1" ht="61.5" x14ac:dyDescent="0.9">
      <c r="A783" s="67">
        <v>1</v>
      </c>
      <c r="B783" s="118">
        <f>SUBTOTAL(103,$A$529:A783)</f>
        <v>238</v>
      </c>
      <c r="C783" s="115" t="s">
        <v>248</v>
      </c>
      <c r="D783" s="122">
        <v>1986</v>
      </c>
      <c r="E783" s="127"/>
      <c r="F783" s="127" t="s">
        <v>321</v>
      </c>
      <c r="G783" s="122">
        <v>2</v>
      </c>
      <c r="H783" s="122">
        <v>2</v>
      </c>
      <c r="I783" s="123">
        <v>924.3</v>
      </c>
      <c r="J783" s="123">
        <v>558.9</v>
      </c>
      <c r="K783" s="123">
        <v>527.1</v>
      </c>
      <c r="L783" s="124">
        <v>24</v>
      </c>
      <c r="M783" s="122" t="s">
        <v>272</v>
      </c>
      <c r="N783" s="122" t="s">
        <v>273</v>
      </c>
      <c r="O783" s="125" t="s">
        <v>275</v>
      </c>
      <c r="P783" s="126">
        <v>2255220</v>
      </c>
      <c r="Q783" s="126">
        <v>0</v>
      </c>
      <c r="R783" s="126">
        <v>0</v>
      </c>
      <c r="S783" s="126">
        <f>P783-Q783-R783</f>
        <v>2255220</v>
      </c>
      <c r="T783" s="126">
        <f t="shared" si="233"/>
        <v>2439.9221032132427</v>
      </c>
      <c r="U783" s="126">
        <v>3228.6245309964297</v>
      </c>
    </row>
    <row r="784" spans="1:21" s="67" customFormat="1" ht="61.5" x14ac:dyDescent="0.9">
      <c r="B784" s="115" t="s">
        <v>920</v>
      </c>
      <c r="C784" s="120"/>
      <c r="D784" s="122" t="s">
        <v>943</v>
      </c>
      <c r="E784" s="122" t="s">
        <v>943</v>
      </c>
      <c r="F784" s="122" t="s">
        <v>943</v>
      </c>
      <c r="G784" s="122" t="s">
        <v>943</v>
      </c>
      <c r="H784" s="122" t="s">
        <v>943</v>
      </c>
      <c r="I784" s="123">
        <f>I785</f>
        <v>622.4</v>
      </c>
      <c r="J784" s="123">
        <f t="shared" ref="J784:L784" si="234">J785</f>
        <v>576.29999999999995</v>
      </c>
      <c r="K784" s="123">
        <f t="shared" si="234"/>
        <v>453.4</v>
      </c>
      <c r="L784" s="124">
        <f t="shared" si="234"/>
        <v>35</v>
      </c>
      <c r="M784" s="122" t="s">
        <v>943</v>
      </c>
      <c r="N784" s="122" t="s">
        <v>943</v>
      </c>
      <c r="O784" s="125" t="s">
        <v>943</v>
      </c>
      <c r="P784" s="126">
        <v>2610900</v>
      </c>
      <c r="Q784" s="126">
        <f t="shared" ref="Q784:R784" si="235">Q785</f>
        <v>0</v>
      </c>
      <c r="R784" s="126">
        <f t="shared" si="235"/>
        <v>0</v>
      </c>
      <c r="S784" s="126">
        <f>S785</f>
        <v>2610900</v>
      </c>
      <c r="T784" s="126">
        <f t="shared" si="233"/>
        <v>4194.8907455012859</v>
      </c>
      <c r="U784" s="126">
        <f>MAX(U785)</f>
        <v>5421.4090616966587</v>
      </c>
    </row>
    <row r="785" spans="1:21" s="67" customFormat="1" ht="61.5" x14ac:dyDescent="0.9">
      <c r="A785" s="67">
        <v>1</v>
      </c>
      <c r="B785" s="118">
        <f>SUBTOTAL(103,$A$529:A785)</f>
        <v>239</v>
      </c>
      <c r="C785" s="121" t="s">
        <v>2</v>
      </c>
      <c r="D785" s="122">
        <v>1963</v>
      </c>
      <c r="E785" s="127"/>
      <c r="F785" s="127" t="s">
        <v>274</v>
      </c>
      <c r="G785" s="122">
        <v>2</v>
      </c>
      <c r="H785" s="122">
        <v>2</v>
      </c>
      <c r="I785" s="123">
        <v>622.4</v>
      </c>
      <c r="J785" s="123">
        <v>576.29999999999995</v>
      </c>
      <c r="K785" s="123">
        <v>453.4</v>
      </c>
      <c r="L785" s="124">
        <v>35</v>
      </c>
      <c r="M785" s="122" t="s">
        <v>272</v>
      </c>
      <c r="N785" s="122" t="s">
        <v>273</v>
      </c>
      <c r="O785" s="125" t="s">
        <v>275</v>
      </c>
      <c r="P785" s="126">
        <v>2610900</v>
      </c>
      <c r="Q785" s="126">
        <v>0</v>
      </c>
      <c r="R785" s="126">
        <v>0</v>
      </c>
      <c r="S785" s="126">
        <f>P785-Q785-R785</f>
        <v>2610900</v>
      </c>
      <c r="T785" s="126">
        <f t="shared" si="233"/>
        <v>4194.8907455012859</v>
      </c>
      <c r="U785" s="126">
        <v>5421.4090616966587</v>
      </c>
    </row>
    <row r="786" spans="1:21" s="67" customFormat="1" ht="61.5" x14ac:dyDescent="0.9">
      <c r="B786" s="115" t="s">
        <v>921</v>
      </c>
      <c r="C786" s="121"/>
      <c r="D786" s="122" t="s">
        <v>943</v>
      </c>
      <c r="E786" s="122" t="s">
        <v>943</v>
      </c>
      <c r="F786" s="122" t="s">
        <v>943</v>
      </c>
      <c r="G786" s="122" t="s">
        <v>943</v>
      </c>
      <c r="H786" s="122" t="s">
        <v>943</v>
      </c>
      <c r="I786" s="123">
        <f>I787</f>
        <v>531.9</v>
      </c>
      <c r="J786" s="123">
        <f t="shared" ref="J786:L786" si="236">J787</f>
        <v>471.5</v>
      </c>
      <c r="K786" s="123">
        <f t="shared" si="236"/>
        <v>438.4</v>
      </c>
      <c r="L786" s="124">
        <f t="shared" si="236"/>
        <v>22</v>
      </c>
      <c r="M786" s="122" t="s">
        <v>943</v>
      </c>
      <c r="N786" s="122" t="s">
        <v>943</v>
      </c>
      <c r="O786" s="125" t="s">
        <v>943</v>
      </c>
      <c r="P786" s="126">
        <v>3133080</v>
      </c>
      <c r="Q786" s="126">
        <f t="shared" ref="Q786:S786" si="237">Q787</f>
        <v>0</v>
      </c>
      <c r="R786" s="126">
        <f t="shared" si="237"/>
        <v>0</v>
      </c>
      <c r="S786" s="126">
        <f t="shared" si="237"/>
        <v>3133080</v>
      </c>
      <c r="T786" s="126">
        <f t="shared" si="233"/>
        <v>5890.3553299492387</v>
      </c>
      <c r="U786" s="126">
        <f>MAX(U787)</f>
        <v>7612.6001128031585</v>
      </c>
    </row>
    <row r="787" spans="1:21" s="67" customFormat="1" ht="61.5" x14ac:dyDescent="0.9">
      <c r="A787" s="67">
        <v>1</v>
      </c>
      <c r="B787" s="118">
        <f>SUBTOTAL(103,$A$529:A787)</f>
        <v>240</v>
      </c>
      <c r="C787" s="121" t="s">
        <v>1</v>
      </c>
      <c r="D787" s="122">
        <v>1962</v>
      </c>
      <c r="E787" s="127"/>
      <c r="F787" s="127" t="s">
        <v>274</v>
      </c>
      <c r="G787" s="122">
        <v>2</v>
      </c>
      <c r="H787" s="122">
        <v>2</v>
      </c>
      <c r="I787" s="123">
        <v>531.9</v>
      </c>
      <c r="J787" s="123">
        <v>471.5</v>
      </c>
      <c r="K787" s="123">
        <v>438.4</v>
      </c>
      <c r="L787" s="124">
        <v>22</v>
      </c>
      <c r="M787" s="122" t="s">
        <v>272</v>
      </c>
      <c r="N787" s="122" t="s">
        <v>273</v>
      </c>
      <c r="O787" s="125" t="s">
        <v>275</v>
      </c>
      <c r="P787" s="126">
        <v>3133080</v>
      </c>
      <c r="Q787" s="126">
        <v>0</v>
      </c>
      <c r="R787" s="126">
        <v>0</v>
      </c>
      <c r="S787" s="126">
        <f>P787-Q787-R787</f>
        <v>3133080</v>
      </c>
      <c r="T787" s="126">
        <f t="shared" si="233"/>
        <v>5890.3553299492387</v>
      </c>
      <c r="U787" s="126">
        <v>7612.6001128031585</v>
      </c>
    </row>
    <row r="788" spans="1:21" s="67" customFormat="1" ht="61.5" x14ac:dyDescent="0.9">
      <c r="B788" s="115" t="s">
        <v>880</v>
      </c>
      <c r="C788" s="119"/>
      <c r="D788" s="122" t="s">
        <v>943</v>
      </c>
      <c r="E788" s="122" t="s">
        <v>943</v>
      </c>
      <c r="F788" s="122" t="s">
        <v>943</v>
      </c>
      <c r="G788" s="122" t="s">
        <v>943</v>
      </c>
      <c r="H788" s="122" t="s">
        <v>943</v>
      </c>
      <c r="I788" s="123">
        <f>I789</f>
        <v>7845.75</v>
      </c>
      <c r="J788" s="123">
        <f t="shared" ref="J788:L788" si="238">J789</f>
        <v>6087.05</v>
      </c>
      <c r="K788" s="123">
        <f t="shared" si="238"/>
        <v>5920.85</v>
      </c>
      <c r="L788" s="124">
        <f t="shared" si="238"/>
        <v>225</v>
      </c>
      <c r="M788" s="122" t="s">
        <v>943</v>
      </c>
      <c r="N788" s="122" t="s">
        <v>943</v>
      </c>
      <c r="O788" s="125" t="s">
        <v>943</v>
      </c>
      <c r="P788" s="126">
        <v>7250046.1200000001</v>
      </c>
      <c r="Q788" s="126">
        <f t="shared" ref="Q788:S788" si="239">Q789</f>
        <v>0</v>
      </c>
      <c r="R788" s="126">
        <f t="shared" si="239"/>
        <v>0</v>
      </c>
      <c r="S788" s="126">
        <f t="shared" si="239"/>
        <v>7250046.1200000001</v>
      </c>
      <c r="T788" s="126">
        <f t="shared" si="233"/>
        <v>924.07304846572981</v>
      </c>
      <c r="U788" s="126">
        <f>MAX(U789)</f>
        <v>1720.3122709747315</v>
      </c>
    </row>
    <row r="789" spans="1:21" s="67" customFormat="1" ht="61.5" x14ac:dyDescent="0.9">
      <c r="A789" s="67">
        <v>1</v>
      </c>
      <c r="B789" s="118">
        <f>SUBTOTAL(103,$A$529:A789)</f>
        <v>241</v>
      </c>
      <c r="C789" s="115" t="s">
        <v>743</v>
      </c>
      <c r="D789" s="122">
        <v>1973</v>
      </c>
      <c r="E789" s="127">
        <v>1973</v>
      </c>
      <c r="F789" s="127" t="s">
        <v>328</v>
      </c>
      <c r="G789" s="122">
        <v>5</v>
      </c>
      <c r="H789" s="122">
        <v>8</v>
      </c>
      <c r="I789" s="123">
        <v>7845.75</v>
      </c>
      <c r="J789" s="123">
        <v>6087.05</v>
      </c>
      <c r="K789" s="123">
        <v>5920.85</v>
      </c>
      <c r="L789" s="124">
        <v>225</v>
      </c>
      <c r="M789" s="122" t="s">
        <v>272</v>
      </c>
      <c r="N789" s="122" t="s">
        <v>276</v>
      </c>
      <c r="O789" s="125" t="s">
        <v>777</v>
      </c>
      <c r="P789" s="126">
        <v>7250046.1200000001</v>
      </c>
      <c r="Q789" s="126">
        <v>0</v>
      </c>
      <c r="R789" s="126">
        <v>0</v>
      </c>
      <c r="S789" s="126">
        <f>P789-Q789-R789</f>
        <v>7250046.1200000001</v>
      </c>
      <c r="T789" s="126">
        <f t="shared" si="233"/>
        <v>924.07304846572981</v>
      </c>
      <c r="U789" s="126">
        <v>1720.3122709747315</v>
      </c>
    </row>
    <row r="790" spans="1:21" s="67" customFormat="1" ht="61.5" x14ac:dyDescent="0.9">
      <c r="B790" s="115" t="s">
        <v>922</v>
      </c>
      <c r="C790" s="115"/>
      <c r="D790" s="122" t="s">
        <v>943</v>
      </c>
      <c r="E790" s="122" t="s">
        <v>943</v>
      </c>
      <c r="F790" s="122" t="s">
        <v>943</v>
      </c>
      <c r="G790" s="122" t="s">
        <v>943</v>
      </c>
      <c r="H790" s="122" t="s">
        <v>943</v>
      </c>
      <c r="I790" s="123">
        <f>I791</f>
        <v>550.20000000000005</v>
      </c>
      <c r="J790" s="123">
        <f t="shared" ref="J790:L790" si="240">J791</f>
        <v>517.20000000000005</v>
      </c>
      <c r="K790" s="123">
        <f t="shared" si="240"/>
        <v>517.20000000000005</v>
      </c>
      <c r="L790" s="124">
        <f t="shared" si="240"/>
        <v>20</v>
      </c>
      <c r="M790" s="122" t="s">
        <v>943</v>
      </c>
      <c r="N790" s="122" t="s">
        <v>943</v>
      </c>
      <c r="O790" s="125" t="s">
        <v>943</v>
      </c>
      <c r="P790" s="126">
        <v>2259013.8299999996</v>
      </c>
      <c r="Q790" s="126">
        <f t="shared" ref="Q790:S790" si="241">Q791</f>
        <v>0</v>
      </c>
      <c r="R790" s="126">
        <f t="shared" si="241"/>
        <v>0</v>
      </c>
      <c r="S790" s="126">
        <f t="shared" si="241"/>
        <v>2259013.8299999996</v>
      </c>
      <c r="T790" s="126">
        <f t="shared" si="233"/>
        <v>4105.804852780806</v>
      </c>
      <c r="U790" s="126">
        <f>MAX(U791)</f>
        <v>7359.400218102508</v>
      </c>
    </row>
    <row r="791" spans="1:21" s="67" customFormat="1" ht="61.5" x14ac:dyDescent="0.9">
      <c r="A791" s="67">
        <v>1</v>
      </c>
      <c r="B791" s="118">
        <f>SUBTOTAL(103,$A$529:A791)</f>
        <v>242</v>
      </c>
      <c r="C791" s="115" t="s">
        <v>749</v>
      </c>
      <c r="D791" s="122">
        <v>1970</v>
      </c>
      <c r="E791" s="127"/>
      <c r="F791" s="127" t="s">
        <v>274</v>
      </c>
      <c r="G791" s="122">
        <v>2</v>
      </c>
      <c r="H791" s="122">
        <v>2</v>
      </c>
      <c r="I791" s="123">
        <v>550.20000000000005</v>
      </c>
      <c r="J791" s="123">
        <v>517.20000000000005</v>
      </c>
      <c r="K791" s="123">
        <v>517.20000000000005</v>
      </c>
      <c r="L791" s="124">
        <v>20</v>
      </c>
      <c r="M791" s="122" t="s">
        <v>272</v>
      </c>
      <c r="N791" s="122" t="s">
        <v>273</v>
      </c>
      <c r="O791" s="125" t="s">
        <v>275</v>
      </c>
      <c r="P791" s="126">
        <v>2259013.8299999996</v>
      </c>
      <c r="Q791" s="126">
        <v>0</v>
      </c>
      <c r="R791" s="126">
        <v>0</v>
      </c>
      <c r="S791" s="126">
        <f>P791-Q791-R791</f>
        <v>2259013.8299999996</v>
      </c>
      <c r="T791" s="126">
        <f t="shared" si="233"/>
        <v>4105.804852780806</v>
      </c>
      <c r="U791" s="126">
        <v>7359.400218102508</v>
      </c>
    </row>
    <row r="792" spans="1:21" s="67" customFormat="1" ht="61.5" x14ac:dyDescent="0.9">
      <c r="B792" s="115" t="s">
        <v>881</v>
      </c>
      <c r="C792" s="115"/>
      <c r="D792" s="122" t="s">
        <v>943</v>
      </c>
      <c r="E792" s="122" t="s">
        <v>943</v>
      </c>
      <c r="F792" s="122" t="s">
        <v>943</v>
      </c>
      <c r="G792" s="122" t="s">
        <v>943</v>
      </c>
      <c r="H792" s="122" t="s">
        <v>943</v>
      </c>
      <c r="I792" s="123">
        <f>I793</f>
        <v>1206.8</v>
      </c>
      <c r="J792" s="123">
        <f t="shared" ref="J792:L792" si="242">J793</f>
        <v>1107.8</v>
      </c>
      <c r="K792" s="123">
        <f t="shared" si="242"/>
        <v>1107.8</v>
      </c>
      <c r="L792" s="124">
        <f t="shared" si="242"/>
        <v>30</v>
      </c>
      <c r="M792" s="122" t="s">
        <v>943</v>
      </c>
      <c r="N792" s="122" t="s">
        <v>943</v>
      </c>
      <c r="O792" s="125" t="s">
        <v>943</v>
      </c>
      <c r="P792" s="126">
        <v>2622646.19</v>
      </c>
      <c r="Q792" s="126">
        <f t="shared" ref="Q792:S792" si="243">Q793</f>
        <v>0</v>
      </c>
      <c r="R792" s="126">
        <f t="shared" si="243"/>
        <v>0</v>
      </c>
      <c r="S792" s="126">
        <f t="shared" si="243"/>
        <v>2622646.19</v>
      </c>
      <c r="T792" s="126">
        <f t="shared" si="233"/>
        <v>2173.2235581703681</v>
      </c>
      <c r="U792" s="126">
        <f>MAX(U793)</f>
        <v>3925.6679980112694</v>
      </c>
    </row>
    <row r="793" spans="1:21" s="67" customFormat="1" ht="61.5" x14ac:dyDescent="0.9">
      <c r="A793" s="67">
        <v>1</v>
      </c>
      <c r="B793" s="118">
        <f>SUBTOTAL(103,$A$529:A793)</f>
        <v>243</v>
      </c>
      <c r="C793" s="115" t="s">
        <v>746</v>
      </c>
      <c r="D793" s="122">
        <v>1973</v>
      </c>
      <c r="E793" s="127">
        <v>2006</v>
      </c>
      <c r="F793" s="127" t="s">
        <v>274</v>
      </c>
      <c r="G793" s="122">
        <v>3</v>
      </c>
      <c r="H793" s="122">
        <v>2</v>
      </c>
      <c r="I793" s="123">
        <v>1206.8</v>
      </c>
      <c r="J793" s="123">
        <v>1107.8</v>
      </c>
      <c r="K793" s="123">
        <v>1107.8</v>
      </c>
      <c r="L793" s="124">
        <v>30</v>
      </c>
      <c r="M793" s="122" t="s">
        <v>272</v>
      </c>
      <c r="N793" s="122" t="s">
        <v>276</v>
      </c>
      <c r="O793" s="125" t="s">
        <v>778</v>
      </c>
      <c r="P793" s="126">
        <v>2622646.19</v>
      </c>
      <c r="Q793" s="126">
        <v>0</v>
      </c>
      <c r="R793" s="126">
        <v>0</v>
      </c>
      <c r="S793" s="126">
        <f>P793-Q793-R793</f>
        <v>2622646.19</v>
      </c>
      <c r="T793" s="126">
        <f t="shared" si="233"/>
        <v>2173.2235581703681</v>
      </c>
      <c r="U793" s="126">
        <v>3925.6679980112694</v>
      </c>
    </row>
    <row r="794" spans="1:21" s="67" customFormat="1" ht="61.5" x14ac:dyDescent="0.9">
      <c r="B794" s="115" t="s">
        <v>883</v>
      </c>
      <c r="C794" s="119"/>
      <c r="D794" s="122" t="s">
        <v>943</v>
      </c>
      <c r="E794" s="122" t="s">
        <v>943</v>
      </c>
      <c r="F794" s="122" t="s">
        <v>943</v>
      </c>
      <c r="G794" s="122" t="s">
        <v>943</v>
      </c>
      <c r="H794" s="122" t="s">
        <v>943</v>
      </c>
      <c r="I794" s="123">
        <f>SUM(I795:I802)</f>
        <v>14693.869999999999</v>
      </c>
      <c r="J794" s="123">
        <f t="shared" ref="J794:L794" si="244">SUM(J795:J802)</f>
        <v>11242.789999999999</v>
      </c>
      <c r="K794" s="123">
        <f t="shared" si="244"/>
        <v>11093.99</v>
      </c>
      <c r="L794" s="124">
        <f t="shared" si="244"/>
        <v>542</v>
      </c>
      <c r="M794" s="122" t="s">
        <v>943</v>
      </c>
      <c r="N794" s="122" t="s">
        <v>943</v>
      </c>
      <c r="O794" s="125" t="s">
        <v>943</v>
      </c>
      <c r="P794" s="126">
        <v>29283340</v>
      </c>
      <c r="Q794" s="126">
        <f t="shared" ref="Q794:S794" si="245">SUM(Q795:Q802)</f>
        <v>0</v>
      </c>
      <c r="R794" s="126">
        <f t="shared" si="245"/>
        <v>0</v>
      </c>
      <c r="S794" s="126">
        <f t="shared" si="245"/>
        <v>29283340</v>
      </c>
      <c r="T794" s="126">
        <f t="shared" si="233"/>
        <v>1992.8949963488178</v>
      </c>
      <c r="U794" s="126">
        <f>MAX(U795:U802)</f>
        <v>6209.4785746927309</v>
      </c>
    </row>
    <row r="795" spans="1:21" s="67" customFormat="1" ht="61.5" x14ac:dyDescent="0.9">
      <c r="A795" s="67">
        <v>1</v>
      </c>
      <c r="B795" s="118">
        <f>SUBTOTAL(103,$A$529:A795)</f>
        <v>244</v>
      </c>
      <c r="C795" s="115" t="s">
        <v>125</v>
      </c>
      <c r="D795" s="122">
        <v>1992</v>
      </c>
      <c r="E795" s="127"/>
      <c r="F795" s="127" t="s">
        <v>274</v>
      </c>
      <c r="G795" s="122">
        <v>3</v>
      </c>
      <c r="H795" s="122">
        <v>2</v>
      </c>
      <c r="I795" s="123">
        <v>1555.9</v>
      </c>
      <c r="J795" s="123">
        <v>1062.8</v>
      </c>
      <c r="K795" s="123">
        <v>1019.8</v>
      </c>
      <c r="L795" s="124">
        <v>42</v>
      </c>
      <c r="M795" s="122" t="s">
        <v>272</v>
      </c>
      <c r="N795" s="122" t="s">
        <v>276</v>
      </c>
      <c r="O795" s="125" t="s">
        <v>292</v>
      </c>
      <c r="P795" s="126">
        <v>3312500</v>
      </c>
      <c r="Q795" s="126">
        <v>0</v>
      </c>
      <c r="R795" s="126">
        <v>0</v>
      </c>
      <c r="S795" s="126">
        <f t="shared" ref="S795:S802" si="246">P795-Q795-R795</f>
        <v>3312500</v>
      </c>
      <c r="T795" s="126">
        <f t="shared" si="233"/>
        <v>2128.9928658654153</v>
      </c>
      <c r="U795" s="126">
        <v>2873.5314769586735</v>
      </c>
    </row>
    <row r="796" spans="1:21" s="67" customFormat="1" ht="61.5" x14ac:dyDescent="0.9">
      <c r="A796" s="67">
        <v>1</v>
      </c>
      <c r="B796" s="118">
        <f>SUBTOTAL(103,$A$529:A796)</f>
        <v>245</v>
      </c>
      <c r="C796" s="115" t="s">
        <v>130</v>
      </c>
      <c r="D796" s="122">
        <v>1983</v>
      </c>
      <c r="E796" s="127"/>
      <c r="F796" s="127" t="s">
        <v>274</v>
      </c>
      <c r="G796" s="122">
        <v>2</v>
      </c>
      <c r="H796" s="122">
        <v>3</v>
      </c>
      <c r="I796" s="123">
        <v>1039.7</v>
      </c>
      <c r="J796" s="123">
        <v>968.1</v>
      </c>
      <c r="K796" s="123">
        <v>908.6</v>
      </c>
      <c r="L796" s="124">
        <v>46</v>
      </c>
      <c r="M796" s="122" t="s">
        <v>272</v>
      </c>
      <c r="N796" s="122" t="s">
        <v>276</v>
      </c>
      <c r="O796" s="125" t="s">
        <v>292</v>
      </c>
      <c r="P796" s="126">
        <v>3771000</v>
      </c>
      <c r="Q796" s="126">
        <v>0</v>
      </c>
      <c r="R796" s="126">
        <v>0</v>
      </c>
      <c r="S796" s="126">
        <f t="shared" si="246"/>
        <v>3771000</v>
      </c>
      <c r="T796" s="126">
        <f t="shared" si="233"/>
        <v>3627.007790708858</v>
      </c>
      <c r="U796" s="126">
        <v>4895.4231932288158</v>
      </c>
    </row>
    <row r="797" spans="1:21" s="67" customFormat="1" ht="61.5" x14ac:dyDescent="0.9">
      <c r="A797" s="67">
        <v>1</v>
      </c>
      <c r="B797" s="118">
        <f>SUBTOTAL(103,$A$529:A797)</f>
        <v>246</v>
      </c>
      <c r="C797" s="115" t="s">
        <v>128</v>
      </c>
      <c r="D797" s="122">
        <v>1981</v>
      </c>
      <c r="E797" s="127"/>
      <c r="F797" s="127" t="s">
        <v>274</v>
      </c>
      <c r="G797" s="122">
        <v>2</v>
      </c>
      <c r="H797" s="122">
        <v>3</v>
      </c>
      <c r="I797" s="123">
        <v>1572.8</v>
      </c>
      <c r="J797" s="123">
        <v>971.5</v>
      </c>
      <c r="K797" s="123">
        <v>925.2</v>
      </c>
      <c r="L797" s="124">
        <v>44</v>
      </c>
      <c r="M797" s="122" t="s">
        <v>272</v>
      </c>
      <c r="N797" s="122" t="s">
        <v>276</v>
      </c>
      <c r="O797" s="125" t="s">
        <v>292</v>
      </c>
      <c r="P797" s="126">
        <v>4430000</v>
      </c>
      <c r="Q797" s="126">
        <v>0</v>
      </c>
      <c r="R797" s="126">
        <v>0</v>
      </c>
      <c r="S797" s="126">
        <f t="shared" si="246"/>
        <v>4430000</v>
      </c>
      <c r="T797" s="126">
        <f t="shared" si="233"/>
        <v>2816.6327568667348</v>
      </c>
      <c r="U797" s="126">
        <v>3801.6486648016275</v>
      </c>
    </row>
    <row r="798" spans="1:21" s="67" customFormat="1" ht="61.5" x14ac:dyDescent="0.9">
      <c r="A798" s="67">
        <v>1</v>
      </c>
      <c r="B798" s="118">
        <f>SUBTOTAL(103,$A$529:A798)</f>
        <v>247</v>
      </c>
      <c r="C798" s="115" t="s">
        <v>131</v>
      </c>
      <c r="D798" s="122">
        <v>1975</v>
      </c>
      <c r="E798" s="127"/>
      <c r="F798" s="127" t="s">
        <v>274</v>
      </c>
      <c r="G798" s="122">
        <v>2</v>
      </c>
      <c r="H798" s="122">
        <v>2</v>
      </c>
      <c r="I798" s="123">
        <v>786.44</v>
      </c>
      <c r="J798" s="123">
        <v>726.3</v>
      </c>
      <c r="K798" s="123">
        <v>726.3</v>
      </c>
      <c r="L798" s="124">
        <v>27</v>
      </c>
      <c r="M798" s="122" t="s">
        <v>272</v>
      </c>
      <c r="N798" s="122" t="s">
        <v>276</v>
      </c>
      <c r="O798" s="125" t="s">
        <v>292</v>
      </c>
      <c r="P798" s="126">
        <v>3350000</v>
      </c>
      <c r="Q798" s="126">
        <v>0</v>
      </c>
      <c r="R798" s="126">
        <v>0</v>
      </c>
      <c r="S798" s="126">
        <f t="shared" si="246"/>
        <v>3350000</v>
      </c>
      <c r="T798" s="126">
        <f t="shared" si="233"/>
        <v>4259.7019480189201</v>
      </c>
      <c r="U798" s="126">
        <v>5749.3793550684086</v>
      </c>
    </row>
    <row r="799" spans="1:21" s="67" customFormat="1" ht="61.5" x14ac:dyDescent="0.9">
      <c r="A799" s="67">
        <v>1</v>
      </c>
      <c r="B799" s="118">
        <f>SUBTOTAL(103,$A$529:A799)</f>
        <v>248</v>
      </c>
      <c r="C799" s="115" t="s">
        <v>129</v>
      </c>
      <c r="D799" s="122">
        <v>1972</v>
      </c>
      <c r="E799" s="127"/>
      <c r="F799" s="127" t="s">
        <v>274</v>
      </c>
      <c r="G799" s="122">
        <v>2</v>
      </c>
      <c r="H799" s="122">
        <v>2</v>
      </c>
      <c r="I799" s="123">
        <v>669.61</v>
      </c>
      <c r="J799" s="123">
        <v>621.29</v>
      </c>
      <c r="K799" s="123">
        <v>621.29</v>
      </c>
      <c r="L799" s="124">
        <v>12</v>
      </c>
      <c r="M799" s="122" t="s">
        <v>272</v>
      </c>
      <c r="N799" s="122" t="s">
        <v>276</v>
      </c>
      <c r="O799" s="125" t="s">
        <v>293</v>
      </c>
      <c r="P799" s="126">
        <v>3080600</v>
      </c>
      <c r="Q799" s="126">
        <v>0</v>
      </c>
      <c r="R799" s="126">
        <v>0</v>
      </c>
      <c r="S799" s="126">
        <f t="shared" si="246"/>
        <v>3080600</v>
      </c>
      <c r="T799" s="126">
        <f t="shared" si="233"/>
        <v>4600.5884022042683</v>
      </c>
      <c r="U799" s="126">
        <v>6209.4785746927309</v>
      </c>
    </row>
    <row r="800" spans="1:21" s="67" customFormat="1" ht="61.5" x14ac:dyDescent="0.9">
      <c r="A800" s="67">
        <v>1</v>
      </c>
      <c r="B800" s="118">
        <f>SUBTOTAL(103,$A$529:A800)</f>
        <v>249</v>
      </c>
      <c r="C800" s="115" t="s">
        <v>126</v>
      </c>
      <c r="D800" s="122">
        <v>1978</v>
      </c>
      <c r="E800" s="127"/>
      <c r="F800" s="127" t="s">
        <v>295</v>
      </c>
      <c r="G800" s="122">
        <v>5</v>
      </c>
      <c r="H800" s="122">
        <v>4</v>
      </c>
      <c r="I800" s="123">
        <v>4027.2</v>
      </c>
      <c r="J800" s="123">
        <v>3079</v>
      </c>
      <c r="K800" s="123">
        <v>3079</v>
      </c>
      <c r="L800" s="124">
        <v>157</v>
      </c>
      <c r="M800" s="122" t="s">
        <v>272</v>
      </c>
      <c r="N800" s="122" t="s">
        <v>276</v>
      </c>
      <c r="O800" s="125" t="s">
        <v>293</v>
      </c>
      <c r="P800" s="126">
        <v>3404280</v>
      </c>
      <c r="Q800" s="126">
        <v>0</v>
      </c>
      <c r="R800" s="126">
        <v>0</v>
      </c>
      <c r="S800" s="126">
        <f t="shared" si="246"/>
        <v>3404280</v>
      </c>
      <c r="T800" s="126">
        <f t="shared" si="233"/>
        <v>845.32181168057218</v>
      </c>
      <c r="U800" s="126">
        <v>1296.5257769666271</v>
      </c>
    </row>
    <row r="801" spans="1:21" s="67" customFormat="1" ht="61.5" x14ac:dyDescent="0.9">
      <c r="A801" s="67">
        <v>1</v>
      </c>
      <c r="B801" s="118">
        <f>SUBTOTAL(103,$A$529:A801)</f>
        <v>250</v>
      </c>
      <c r="C801" s="115" t="s">
        <v>127</v>
      </c>
      <c r="D801" s="122">
        <v>1986</v>
      </c>
      <c r="E801" s="127"/>
      <c r="F801" s="127" t="s">
        <v>274</v>
      </c>
      <c r="G801" s="122">
        <v>5</v>
      </c>
      <c r="H801" s="122">
        <v>1</v>
      </c>
      <c r="I801" s="123">
        <v>3459.92</v>
      </c>
      <c r="J801" s="123">
        <v>2342</v>
      </c>
      <c r="K801" s="123">
        <v>2342</v>
      </c>
      <c r="L801" s="124">
        <v>145</v>
      </c>
      <c r="M801" s="122" t="s">
        <v>272</v>
      </c>
      <c r="N801" s="122" t="s">
        <v>276</v>
      </c>
      <c r="O801" s="125" t="s">
        <v>293</v>
      </c>
      <c r="P801" s="126">
        <v>4675000</v>
      </c>
      <c r="Q801" s="126">
        <v>0</v>
      </c>
      <c r="R801" s="126">
        <v>0</v>
      </c>
      <c r="S801" s="126">
        <f t="shared" si="246"/>
        <v>4675000</v>
      </c>
      <c r="T801" s="126">
        <f t="shared" si="233"/>
        <v>1351.1873106892645</v>
      </c>
      <c r="U801" s="126">
        <v>1823.7164298596499</v>
      </c>
    </row>
    <row r="802" spans="1:21" s="67" customFormat="1" ht="61.5" x14ac:dyDescent="0.9">
      <c r="A802" s="67">
        <v>1</v>
      </c>
      <c r="B802" s="118">
        <f>SUBTOTAL(103,$A$529:A802)</f>
        <v>251</v>
      </c>
      <c r="C802" s="115" t="s">
        <v>132</v>
      </c>
      <c r="D802" s="122">
        <v>1978</v>
      </c>
      <c r="E802" s="127"/>
      <c r="F802" s="127" t="s">
        <v>274</v>
      </c>
      <c r="G802" s="122">
        <v>3</v>
      </c>
      <c r="H802" s="122">
        <v>3</v>
      </c>
      <c r="I802" s="123">
        <v>1582.3</v>
      </c>
      <c r="J802" s="123">
        <v>1471.8</v>
      </c>
      <c r="K802" s="123">
        <v>1471.8</v>
      </c>
      <c r="L802" s="124">
        <v>69</v>
      </c>
      <c r="M802" s="122" t="s">
        <v>272</v>
      </c>
      <c r="N802" s="122" t="s">
        <v>276</v>
      </c>
      <c r="O802" s="125" t="s">
        <v>293</v>
      </c>
      <c r="P802" s="126">
        <v>3259960</v>
      </c>
      <c r="Q802" s="126">
        <v>0</v>
      </c>
      <c r="R802" s="126">
        <v>0</v>
      </c>
      <c r="S802" s="126">
        <f t="shared" si="246"/>
        <v>3259960</v>
      </c>
      <c r="T802" s="126">
        <f t="shared" si="233"/>
        <v>2060.2667003728748</v>
      </c>
      <c r="U802" s="126">
        <v>3159.9668286671299</v>
      </c>
    </row>
    <row r="803" spans="1:21" s="67" customFormat="1" ht="61.5" x14ac:dyDescent="0.9">
      <c r="B803" s="115" t="s">
        <v>888</v>
      </c>
      <c r="C803" s="119"/>
      <c r="D803" s="122" t="s">
        <v>943</v>
      </c>
      <c r="E803" s="122" t="s">
        <v>943</v>
      </c>
      <c r="F803" s="122" t="s">
        <v>943</v>
      </c>
      <c r="G803" s="122" t="s">
        <v>943</v>
      </c>
      <c r="H803" s="122" t="s">
        <v>943</v>
      </c>
      <c r="I803" s="123">
        <f>I804</f>
        <v>791.5</v>
      </c>
      <c r="J803" s="123">
        <f t="shared" ref="J803:L803" si="247">J804</f>
        <v>725.1</v>
      </c>
      <c r="K803" s="123">
        <f t="shared" si="247"/>
        <v>725.1</v>
      </c>
      <c r="L803" s="124">
        <f t="shared" si="247"/>
        <v>42</v>
      </c>
      <c r="M803" s="122" t="s">
        <v>943</v>
      </c>
      <c r="N803" s="122" t="s">
        <v>943</v>
      </c>
      <c r="O803" s="125" t="s">
        <v>943</v>
      </c>
      <c r="P803" s="126">
        <v>3328825.5</v>
      </c>
      <c r="Q803" s="126">
        <f t="shared" ref="Q803:S803" si="248">Q804</f>
        <v>0</v>
      </c>
      <c r="R803" s="126">
        <f t="shared" si="248"/>
        <v>0</v>
      </c>
      <c r="S803" s="126">
        <f t="shared" si="248"/>
        <v>3328825.5</v>
      </c>
      <c r="T803" s="126">
        <f t="shared" si="233"/>
        <v>4205.7176247631078</v>
      </c>
      <c r="U803" s="126">
        <f>MAX(U804)</f>
        <v>5542.0979153506005</v>
      </c>
    </row>
    <row r="804" spans="1:21" s="67" customFormat="1" ht="61.5" x14ac:dyDescent="0.9">
      <c r="A804" s="67">
        <v>1</v>
      </c>
      <c r="B804" s="118">
        <f>SUBTOTAL(103,$A$529:A804)</f>
        <v>252</v>
      </c>
      <c r="C804" s="115" t="s">
        <v>181</v>
      </c>
      <c r="D804" s="122">
        <v>1968</v>
      </c>
      <c r="E804" s="127">
        <v>2009</v>
      </c>
      <c r="F804" s="127" t="s">
        <v>274</v>
      </c>
      <c r="G804" s="122">
        <v>2</v>
      </c>
      <c r="H804" s="122">
        <v>2</v>
      </c>
      <c r="I804" s="123">
        <v>791.5</v>
      </c>
      <c r="J804" s="123">
        <v>725.1</v>
      </c>
      <c r="K804" s="123">
        <v>725.1</v>
      </c>
      <c r="L804" s="124">
        <v>42</v>
      </c>
      <c r="M804" s="122" t="s">
        <v>272</v>
      </c>
      <c r="N804" s="122" t="s">
        <v>273</v>
      </c>
      <c r="O804" s="125" t="s">
        <v>275</v>
      </c>
      <c r="P804" s="126">
        <v>3328825.5</v>
      </c>
      <c r="Q804" s="126">
        <v>0</v>
      </c>
      <c r="R804" s="126">
        <v>0</v>
      </c>
      <c r="S804" s="126">
        <f>P804-Q804-R804</f>
        <v>3328825.5</v>
      </c>
      <c r="T804" s="126">
        <f t="shared" si="233"/>
        <v>4205.7176247631078</v>
      </c>
      <c r="U804" s="126">
        <v>5542.0979153506005</v>
      </c>
    </row>
    <row r="805" spans="1:21" s="67" customFormat="1" ht="61.5" x14ac:dyDescent="0.9">
      <c r="B805" s="115" t="s">
        <v>887</v>
      </c>
      <c r="C805" s="115"/>
      <c r="D805" s="122" t="s">
        <v>943</v>
      </c>
      <c r="E805" s="122" t="s">
        <v>943</v>
      </c>
      <c r="F805" s="122" t="s">
        <v>943</v>
      </c>
      <c r="G805" s="122" t="s">
        <v>943</v>
      </c>
      <c r="H805" s="122" t="s">
        <v>943</v>
      </c>
      <c r="I805" s="123">
        <f>I806+I807</f>
        <v>910.90000000000009</v>
      </c>
      <c r="J805" s="123">
        <f t="shared" ref="J805:L805" si="249">J806+J807</f>
        <v>796.59999999999991</v>
      </c>
      <c r="K805" s="123">
        <f t="shared" si="249"/>
        <v>753.7</v>
      </c>
      <c r="L805" s="124">
        <f t="shared" si="249"/>
        <v>39</v>
      </c>
      <c r="M805" s="122" t="s">
        <v>943</v>
      </c>
      <c r="N805" s="122" t="s">
        <v>943</v>
      </c>
      <c r="O805" s="125" t="s">
        <v>943</v>
      </c>
      <c r="P805" s="126">
        <v>5279138.41</v>
      </c>
      <c r="Q805" s="126">
        <f t="shared" ref="Q805:S805" si="250">Q806+Q807</f>
        <v>0</v>
      </c>
      <c r="R805" s="126">
        <f t="shared" si="250"/>
        <v>0</v>
      </c>
      <c r="S805" s="126">
        <f t="shared" si="250"/>
        <v>5279138.41</v>
      </c>
      <c r="T805" s="126">
        <f t="shared" si="233"/>
        <v>5795.5191678559659</v>
      </c>
      <c r="U805" s="126">
        <f>MAX(U806:U807)</f>
        <v>7659.4888446215136</v>
      </c>
    </row>
    <row r="806" spans="1:21" s="67" customFormat="1" ht="61.5" x14ac:dyDescent="0.9">
      <c r="A806" s="67">
        <v>1</v>
      </c>
      <c r="B806" s="118">
        <f>SUBTOTAL(103,$A$529:A806)</f>
        <v>253</v>
      </c>
      <c r="C806" s="115" t="s">
        <v>179</v>
      </c>
      <c r="D806" s="122">
        <v>1955</v>
      </c>
      <c r="E806" s="127"/>
      <c r="F806" s="127" t="s">
        <v>274</v>
      </c>
      <c r="G806" s="122">
        <v>2</v>
      </c>
      <c r="H806" s="122">
        <v>2</v>
      </c>
      <c r="I806" s="123">
        <v>451.8</v>
      </c>
      <c r="J806" s="123">
        <v>395.2</v>
      </c>
      <c r="K806" s="123">
        <v>395.2</v>
      </c>
      <c r="L806" s="124">
        <v>16</v>
      </c>
      <c r="M806" s="122" t="s">
        <v>272</v>
      </c>
      <c r="N806" s="122" t="s">
        <v>347</v>
      </c>
      <c r="O806" s="125" t="s">
        <v>349</v>
      </c>
      <c r="P806" s="126">
        <v>2721526.66</v>
      </c>
      <c r="Q806" s="126">
        <v>0</v>
      </c>
      <c r="R806" s="126">
        <v>0</v>
      </c>
      <c r="S806" s="126">
        <f t="shared" ref="S806:S807" si="251">P806-Q806-R806</f>
        <v>2721526.66</v>
      </c>
      <c r="T806" s="126">
        <f t="shared" si="233"/>
        <v>6023.7420540061976</v>
      </c>
      <c r="U806" s="126">
        <v>7659.4888446215136</v>
      </c>
    </row>
    <row r="807" spans="1:21" s="67" customFormat="1" ht="61.5" x14ac:dyDescent="0.9">
      <c r="A807" s="67">
        <v>1</v>
      </c>
      <c r="B807" s="118">
        <f>SUBTOTAL(103,$A$529:A807)</f>
        <v>254</v>
      </c>
      <c r="C807" s="115" t="s">
        <v>180</v>
      </c>
      <c r="D807" s="122">
        <v>1956</v>
      </c>
      <c r="E807" s="127">
        <v>2010</v>
      </c>
      <c r="F807" s="127" t="s">
        <v>274</v>
      </c>
      <c r="G807" s="122">
        <v>2</v>
      </c>
      <c r="H807" s="122">
        <v>2</v>
      </c>
      <c r="I807" s="123">
        <v>459.1</v>
      </c>
      <c r="J807" s="123">
        <v>401.4</v>
      </c>
      <c r="K807" s="123">
        <v>358.5</v>
      </c>
      <c r="L807" s="124">
        <v>23</v>
      </c>
      <c r="M807" s="122" t="s">
        <v>272</v>
      </c>
      <c r="N807" s="122" t="s">
        <v>347</v>
      </c>
      <c r="O807" s="125" t="s">
        <v>349</v>
      </c>
      <c r="P807" s="126">
        <v>2557611.75</v>
      </c>
      <c r="Q807" s="126">
        <v>0</v>
      </c>
      <c r="R807" s="126">
        <v>0</v>
      </c>
      <c r="S807" s="126">
        <f t="shared" si="251"/>
        <v>2557611.75</v>
      </c>
      <c r="T807" s="126">
        <f t="shared" si="233"/>
        <v>5570.9251796994113</v>
      </c>
      <c r="U807" s="126">
        <v>6987.5608146373334</v>
      </c>
    </row>
    <row r="808" spans="1:21" s="67" customFormat="1" ht="61.5" x14ac:dyDescent="0.9">
      <c r="B808" s="115" t="s">
        <v>923</v>
      </c>
      <c r="C808" s="115"/>
      <c r="D808" s="122" t="s">
        <v>943</v>
      </c>
      <c r="E808" s="122" t="s">
        <v>943</v>
      </c>
      <c r="F808" s="122" t="s">
        <v>943</v>
      </c>
      <c r="G808" s="122" t="s">
        <v>943</v>
      </c>
      <c r="H808" s="122" t="s">
        <v>943</v>
      </c>
      <c r="I808" s="123">
        <f>I809</f>
        <v>960.39</v>
      </c>
      <c r="J808" s="123">
        <f t="shared" ref="J808:L808" si="252">J809</f>
        <v>880.42</v>
      </c>
      <c r="K808" s="123">
        <f t="shared" si="252"/>
        <v>880.42</v>
      </c>
      <c r="L808" s="124">
        <f t="shared" si="252"/>
        <v>48</v>
      </c>
      <c r="M808" s="122" t="s">
        <v>943</v>
      </c>
      <c r="N808" s="122" t="s">
        <v>943</v>
      </c>
      <c r="O808" s="125" t="s">
        <v>943</v>
      </c>
      <c r="P808" s="126">
        <v>4178956.32</v>
      </c>
      <c r="Q808" s="126">
        <f t="shared" ref="Q808:S808" si="253">Q809</f>
        <v>0</v>
      </c>
      <c r="R808" s="126">
        <f t="shared" si="253"/>
        <v>0</v>
      </c>
      <c r="S808" s="126">
        <f t="shared" si="253"/>
        <v>4178956.32</v>
      </c>
      <c r="T808" s="126">
        <f t="shared" si="233"/>
        <v>4351.3117795895414</v>
      </c>
      <c r="U808" s="126">
        <f>MAX(U809)</f>
        <v>5733.9550807484466</v>
      </c>
    </row>
    <row r="809" spans="1:21" s="67" customFormat="1" ht="61.5" x14ac:dyDescent="0.9">
      <c r="A809" s="67">
        <v>1</v>
      </c>
      <c r="B809" s="118">
        <f>SUBTOTAL(103,$A$529:A809)</f>
        <v>255</v>
      </c>
      <c r="C809" s="115" t="s">
        <v>178</v>
      </c>
      <c r="D809" s="122">
        <v>1969</v>
      </c>
      <c r="E809" s="127"/>
      <c r="F809" s="127" t="s">
        <v>274</v>
      </c>
      <c r="G809" s="122">
        <v>2</v>
      </c>
      <c r="H809" s="122">
        <v>3</v>
      </c>
      <c r="I809" s="123">
        <v>960.39</v>
      </c>
      <c r="J809" s="123">
        <v>880.42</v>
      </c>
      <c r="K809" s="123">
        <v>880.42</v>
      </c>
      <c r="L809" s="124">
        <v>48</v>
      </c>
      <c r="M809" s="122" t="s">
        <v>272</v>
      </c>
      <c r="N809" s="122" t="s">
        <v>347</v>
      </c>
      <c r="O809" s="125" t="s">
        <v>348</v>
      </c>
      <c r="P809" s="126">
        <v>4178956.32</v>
      </c>
      <c r="Q809" s="126">
        <v>0</v>
      </c>
      <c r="R809" s="126">
        <v>0</v>
      </c>
      <c r="S809" s="126">
        <f>P809-Q809-R809</f>
        <v>4178956.32</v>
      </c>
      <c r="T809" s="126">
        <f t="shared" si="233"/>
        <v>4351.3117795895414</v>
      </c>
      <c r="U809" s="126">
        <v>5733.9550807484466</v>
      </c>
    </row>
    <row r="810" spans="1:21" s="67" customFormat="1" ht="61.5" x14ac:dyDescent="0.9">
      <c r="B810" s="115" t="s">
        <v>889</v>
      </c>
      <c r="C810" s="115"/>
      <c r="D810" s="122" t="s">
        <v>943</v>
      </c>
      <c r="E810" s="122" t="s">
        <v>943</v>
      </c>
      <c r="F810" s="122" t="s">
        <v>943</v>
      </c>
      <c r="G810" s="122" t="s">
        <v>943</v>
      </c>
      <c r="H810" s="122" t="s">
        <v>943</v>
      </c>
      <c r="I810" s="123">
        <f>I811</f>
        <v>388.8</v>
      </c>
      <c r="J810" s="123">
        <f t="shared" ref="J810:L810" si="254">J811</f>
        <v>354.2</v>
      </c>
      <c r="K810" s="123">
        <f t="shared" si="254"/>
        <v>354.2</v>
      </c>
      <c r="L810" s="124">
        <f t="shared" si="254"/>
        <v>14</v>
      </c>
      <c r="M810" s="122" t="s">
        <v>943</v>
      </c>
      <c r="N810" s="122" t="s">
        <v>943</v>
      </c>
      <c r="O810" s="125" t="s">
        <v>943</v>
      </c>
      <c r="P810" s="126">
        <v>1889236.5</v>
      </c>
      <c r="Q810" s="126">
        <f t="shared" ref="Q810:S810" si="255">Q811</f>
        <v>0</v>
      </c>
      <c r="R810" s="126">
        <f t="shared" si="255"/>
        <v>0</v>
      </c>
      <c r="S810" s="126">
        <f t="shared" si="255"/>
        <v>1889236.5</v>
      </c>
      <c r="T810" s="126">
        <f t="shared" si="233"/>
        <v>4859.1473765432102</v>
      </c>
      <c r="U810" s="126">
        <f>MAX(U811)</f>
        <v>6403.1570807613161</v>
      </c>
    </row>
    <row r="811" spans="1:21" s="67" customFormat="1" ht="61.5" x14ac:dyDescent="0.9">
      <c r="A811" s="67">
        <v>1</v>
      </c>
      <c r="B811" s="118">
        <f>SUBTOTAL(103,$A$529:A811)</f>
        <v>256</v>
      </c>
      <c r="C811" s="115" t="s">
        <v>177</v>
      </c>
      <c r="D811" s="122">
        <v>1969</v>
      </c>
      <c r="E811" s="127"/>
      <c r="F811" s="127" t="s">
        <v>274</v>
      </c>
      <c r="G811" s="122">
        <v>2</v>
      </c>
      <c r="H811" s="122">
        <v>1</v>
      </c>
      <c r="I811" s="123">
        <v>388.8</v>
      </c>
      <c r="J811" s="123">
        <v>354.2</v>
      </c>
      <c r="K811" s="123">
        <v>354.2</v>
      </c>
      <c r="L811" s="124">
        <v>14</v>
      </c>
      <c r="M811" s="122" t="s">
        <v>272</v>
      </c>
      <c r="N811" s="122" t="s">
        <v>347</v>
      </c>
      <c r="O811" s="125" t="s">
        <v>348</v>
      </c>
      <c r="P811" s="126">
        <v>1889236.5</v>
      </c>
      <c r="Q811" s="126">
        <v>0</v>
      </c>
      <c r="R811" s="126">
        <v>0</v>
      </c>
      <c r="S811" s="126">
        <f>P811-Q811-R811</f>
        <v>1889236.5</v>
      </c>
      <c r="T811" s="126">
        <f t="shared" si="233"/>
        <v>4859.1473765432102</v>
      </c>
      <c r="U811" s="126">
        <v>6403.1570807613161</v>
      </c>
    </row>
    <row r="812" spans="1:21" s="67" customFormat="1" ht="61.5" x14ac:dyDescent="0.9">
      <c r="B812" s="115" t="s">
        <v>890</v>
      </c>
      <c r="C812" s="119"/>
      <c r="D812" s="122" t="s">
        <v>943</v>
      </c>
      <c r="E812" s="122" t="s">
        <v>943</v>
      </c>
      <c r="F812" s="122" t="s">
        <v>943</v>
      </c>
      <c r="G812" s="122" t="s">
        <v>943</v>
      </c>
      <c r="H812" s="122" t="s">
        <v>943</v>
      </c>
      <c r="I812" s="123">
        <f>SUM(I813:I816)</f>
        <v>3179.8</v>
      </c>
      <c r="J812" s="123">
        <f t="shared" ref="J812:L812" si="256">SUM(J813:J816)</f>
        <v>2173</v>
      </c>
      <c r="K812" s="123">
        <f t="shared" si="256"/>
        <v>2104</v>
      </c>
      <c r="L812" s="124">
        <f t="shared" si="256"/>
        <v>106</v>
      </c>
      <c r="M812" s="122" t="s">
        <v>943</v>
      </c>
      <c r="N812" s="122" t="s">
        <v>943</v>
      </c>
      <c r="O812" s="125" t="s">
        <v>943</v>
      </c>
      <c r="P812" s="126">
        <v>10103503.050000001</v>
      </c>
      <c r="Q812" s="126">
        <f t="shared" ref="Q812:S812" si="257">SUM(Q813:Q816)</f>
        <v>0</v>
      </c>
      <c r="R812" s="126">
        <f t="shared" si="257"/>
        <v>0</v>
      </c>
      <c r="S812" s="126">
        <f t="shared" si="257"/>
        <v>10103503.050000001</v>
      </c>
      <c r="T812" s="126">
        <f t="shared" si="233"/>
        <v>3177.402053588276</v>
      </c>
      <c r="U812" s="126">
        <f>MAX(U813:U816)</f>
        <v>8155.944631815627</v>
      </c>
    </row>
    <row r="813" spans="1:21" s="67" customFormat="1" ht="61.5" x14ac:dyDescent="0.9">
      <c r="A813" s="67">
        <v>1</v>
      </c>
      <c r="B813" s="118">
        <f>SUBTOTAL(103,$A$529:A813)</f>
        <v>257</v>
      </c>
      <c r="C813" s="115" t="s">
        <v>80</v>
      </c>
      <c r="D813" s="122">
        <v>1962</v>
      </c>
      <c r="E813" s="127"/>
      <c r="F813" s="127" t="s">
        <v>274</v>
      </c>
      <c r="G813" s="122">
        <v>4</v>
      </c>
      <c r="H813" s="122">
        <v>2</v>
      </c>
      <c r="I813" s="123">
        <v>1697.1</v>
      </c>
      <c r="J813" s="123">
        <v>1254</v>
      </c>
      <c r="K813" s="123">
        <v>1254</v>
      </c>
      <c r="L813" s="124">
        <v>38</v>
      </c>
      <c r="M813" s="122" t="s">
        <v>272</v>
      </c>
      <c r="N813" s="122" t="s">
        <v>276</v>
      </c>
      <c r="O813" s="125" t="s">
        <v>284</v>
      </c>
      <c r="P813" s="126">
        <v>3083184.6</v>
      </c>
      <c r="Q813" s="126">
        <v>0</v>
      </c>
      <c r="R813" s="126">
        <v>0</v>
      </c>
      <c r="S813" s="126">
        <f t="shared" ref="S813:S816" si="258">P813-Q813-R813</f>
        <v>3083184.6</v>
      </c>
      <c r="T813" s="126">
        <f t="shared" si="233"/>
        <v>1816.7371398267635</v>
      </c>
      <c r="U813" s="126">
        <v>2028.0305815803429</v>
      </c>
    </row>
    <row r="814" spans="1:21" s="67" customFormat="1" ht="61.5" x14ac:dyDescent="0.9">
      <c r="A814" s="67">
        <v>1</v>
      </c>
      <c r="B814" s="118">
        <f>SUBTOTAL(103,$A$529:A814)</f>
        <v>258</v>
      </c>
      <c r="C814" s="115" t="s">
        <v>81</v>
      </c>
      <c r="D814" s="122">
        <v>1962</v>
      </c>
      <c r="E814" s="127"/>
      <c r="F814" s="127" t="s">
        <v>274</v>
      </c>
      <c r="G814" s="122">
        <v>2</v>
      </c>
      <c r="H814" s="122">
        <v>2</v>
      </c>
      <c r="I814" s="123">
        <v>355.8</v>
      </c>
      <c r="J814" s="123">
        <v>212</v>
      </c>
      <c r="K814" s="123">
        <v>212</v>
      </c>
      <c r="L814" s="124">
        <v>21</v>
      </c>
      <c r="M814" s="122" t="s">
        <v>272</v>
      </c>
      <c r="N814" s="122" t="s">
        <v>273</v>
      </c>
      <c r="O814" s="125" t="s">
        <v>275</v>
      </c>
      <c r="P814" s="126">
        <v>2424688.3000000003</v>
      </c>
      <c r="Q814" s="126">
        <v>0</v>
      </c>
      <c r="R814" s="126">
        <v>0</v>
      </c>
      <c r="S814" s="126">
        <f t="shared" si="258"/>
        <v>2424688.3000000003</v>
      </c>
      <c r="T814" s="126">
        <f t="shared" si="233"/>
        <v>6814.7507026419344</v>
      </c>
      <c r="U814" s="126">
        <v>8155.944631815627</v>
      </c>
    </row>
    <row r="815" spans="1:21" s="67" customFormat="1" ht="61.5" x14ac:dyDescent="0.9">
      <c r="A815" s="67">
        <v>1</v>
      </c>
      <c r="B815" s="118">
        <f>SUBTOTAL(103,$A$529:A815)</f>
        <v>259</v>
      </c>
      <c r="C815" s="115" t="s">
        <v>82</v>
      </c>
      <c r="D815" s="122">
        <v>1964</v>
      </c>
      <c r="E815" s="127"/>
      <c r="F815" s="127" t="s">
        <v>274</v>
      </c>
      <c r="G815" s="122">
        <v>2</v>
      </c>
      <c r="H815" s="122">
        <v>2</v>
      </c>
      <c r="I815" s="123">
        <v>651.6</v>
      </c>
      <c r="J815" s="123">
        <v>412</v>
      </c>
      <c r="K815" s="123">
        <v>385</v>
      </c>
      <c r="L815" s="124">
        <v>42</v>
      </c>
      <c r="M815" s="122" t="s">
        <v>272</v>
      </c>
      <c r="N815" s="122" t="s">
        <v>273</v>
      </c>
      <c r="O815" s="125" t="s">
        <v>275</v>
      </c>
      <c r="P815" s="126">
        <v>2424688.3000000003</v>
      </c>
      <c r="Q815" s="126">
        <v>0</v>
      </c>
      <c r="R815" s="126">
        <v>0</v>
      </c>
      <c r="S815" s="126">
        <f t="shared" si="258"/>
        <v>2424688.3000000003</v>
      </c>
      <c r="T815" s="126">
        <f t="shared" si="233"/>
        <v>3721.1299877225297</v>
      </c>
      <c r="U815" s="126">
        <v>4453.4762124002455</v>
      </c>
    </row>
    <row r="816" spans="1:21" s="67" customFormat="1" ht="61.5" x14ac:dyDescent="0.9">
      <c r="A816" s="67">
        <v>1</v>
      </c>
      <c r="B816" s="118">
        <f>SUBTOTAL(103,$A$529:A816)</f>
        <v>260</v>
      </c>
      <c r="C816" s="115" t="s">
        <v>79</v>
      </c>
      <c r="D816" s="122">
        <v>1929</v>
      </c>
      <c r="E816" s="127"/>
      <c r="F816" s="127" t="s">
        <v>274</v>
      </c>
      <c r="G816" s="122">
        <v>3</v>
      </c>
      <c r="H816" s="122">
        <v>1</v>
      </c>
      <c r="I816" s="123">
        <v>475.3</v>
      </c>
      <c r="J816" s="123">
        <v>295</v>
      </c>
      <c r="K816" s="123">
        <v>253</v>
      </c>
      <c r="L816" s="124">
        <v>5</v>
      </c>
      <c r="M816" s="122" t="s">
        <v>272</v>
      </c>
      <c r="N816" s="122" t="s">
        <v>273</v>
      </c>
      <c r="O816" s="125" t="s">
        <v>275</v>
      </c>
      <c r="P816" s="126">
        <v>2170941.85</v>
      </c>
      <c r="Q816" s="126">
        <v>0</v>
      </c>
      <c r="R816" s="126">
        <v>0</v>
      </c>
      <c r="S816" s="126">
        <f t="shared" si="258"/>
        <v>2170941.85</v>
      </c>
      <c r="T816" s="126">
        <f t="shared" si="233"/>
        <v>4567.5191458026511</v>
      </c>
      <c r="U816" s="126">
        <v>5466.4410898379965</v>
      </c>
    </row>
    <row r="817" spans="1:21" s="67" customFormat="1" ht="61.5" x14ac:dyDescent="0.9">
      <c r="B817" s="115" t="s">
        <v>924</v>
      </c>
      <c r="C817" s="115"/>
      <c r="D817" s="122" t="s">
        <v>943</v>
      </c>
      <c r="E817" s="122" t="s">
        <v>943</v>
      </c>
      <c r="F817" s="122" t="s">
        <v>943</v>
      </c>
      <c r="G817" s="122" t="s">
        <v>943</v>
      </c>
      <c r="H817" s="122" t="s">
        <v>943</v>
      </c>
      <c r="I817" s="123">
        <f>SUM(I818:I819)</f>
        <v>530.5</v>
      </c>
      <c r="J817" s="123">
        <f t="shared" ref="J817:L817" si="259">SUM(J818:J819)</f>
        <v>481.3</v>
      </c>
      <c r="K817" s="123">
        <f t="shared" si="259"/>
        <v>481.3</v>
      </c>
      <c r="L817" s="124">
        <f t="shared" si="259"/>
        <v>25</v>
      </c>
      <c r="M817" s="122" t="s">
        <v>943</v>
      </c>
      <c r="N817" s="122" t="s">
        <v>943</v>
      </c>
      <c r="O817" s="125" t="s">
        <v>943</v>
      </c>
      <c r="P817" s="126">
        <v>2766932.97</v>
      </c>
      <c r="Q817" s="126">
        <f t="shared" ref="Q817:S817" si="260">Q818+Q819</f>
        <v>0</v>
      </c>
      <c r="R817" s="126">
        <f t="shared" si="260"/>
        <v>0</v>
      </c>
      <c r="S817" s="126">
        <f t="shared" si="260"/>
        <v>2766932.97</v>
      </c>
      <c r="T817" s="126">
        <f t="shared" si="233"/>
        <v>5215.7077662582469</v>
      </c>
      <c r="U817" s="126">
        <f>MAX(U818:U819)</f>
        <v>6474.4093437499996</v>
      </c>
    </row>
    <row r="818" spans="1:21" s="67" customFormat="1" ht="61.5" x14ac:dyDescent="0.9">
      <c r="A818" s="67">
        <v>1</v>
      </c>
      <c r="B818" s="118">
        <f>SUBTOTAL(103,$A$529:A818)</f>
        <v>261</v>
      </c>
      <c r="C818" s="115" t="s">
        <v>83</v>
      </c>
      <c r="D818" s="122">
        <v>1931</v>
      </c>
      <c r="E818" s="127"/>
      <c r="F818" s="127" t="s">
        <v>274</v>
      </c>
      <c r="G818" s="122">
        <v>2</v>
      </c>
      <c r="H818" s="122">
        <v>1</v>
      </c>
      <c r="I818" s="123">
        <v>320</v>
      </c>
      <c r="J818" s="123">
        <v>297</v>
      </c>
      <c r="K818" s="123">
        <v>297</v>
      </c>
      <c r="L818" s="124">
        <v>16</v>
      </c>
      <c r="M818" s="122" t="s">
        <v>272</v>
      </c>
      <c r="N818" s="122" t="s">
        <v>273</v>
      </c>
      <c r="O818" s="125" t="s">
        <v>275</v>
      </c>
      <c r="P818" s="126">
        <v>1818947.37</v>
      </c>
      <c r="Q818" s="126">
        <v>0</v>
      </c>
      <c r="R818" s="126">
        <v>0</v>
      </c>
      <c r="S818" s="126">
        <f t="shared" ref="S818:S819" si="261">P818-Q818-R818</f>
        <v>1818947.37</v>
      </c>
      <c r="T818" s="126">
        <f t="shared" si="233"/>
        <v>5684.2105312500007</v>
      </c>
      <c r="U818" s="126">
        <v>6474.4093437499996</v>
      </c>
    </row>
    <row r="819" spans="1:21" s="67" customFormat="1" ht="61.5" x14ac:dyDescent="0.9">
      <c r="A819" s="67">
        <v>1</v>
      </c>
      <c r="B819" s="118">
        <f>SUBTOTAL(103,$A$529:A819)</f>
        <v>262</v>
      </c>
      <c r="C819" s="115" t="s">
        <v>84</v>
      </c>
      <c r="D819" s="122">
        <v>1965</v>
      </c>
      <c r="E819" s="127"/>
      <c r="F819" s="127" t="s">
        <v>274</v>
      </c>
      <c r="G819" s="122">
        <v>2</v>
      </c>
      <c r="H819" s="122">
        <v>1</v>
      </c>
      <c r="I819" s="123">
        <v>210.5</v>
      </c>
      <c r="J819" s="123">
        <v>184.3</v>
      </c>
      <c r="K819" s="123">
        <v>184.3</v>
      </c>
      <c r="L819" s="124">
        <v>9</v>
      </c>
      <c r="M819" s="122" t="s">
        <v>272</v>
      </c>
      <c r="N819" s="122" t="s">
        <v>276</v>
      </c>
      <c r="O819" s="125" t="s">
        <v>287</v>
      </c>
      <c r="P819" s="126">
        <v>947985.6</v>
      </c>
      <c r="Q819" s="126">
        <v>0</v>
      </c>
      <c r="R819" s="126">
        <v>0</v>
      </c>
      <c r="S819" s="126">
        <f t="shared" si="261"/>
        <v>947985.6</v>
      </c>
      <c r="T819" s="126">
        <f t="shared" si="233"/>
        <v>4503.494536817102</v>
      </c>
      <c r="U819" s="126">
        <v>5129.5543942992872</v>
      </c>
    </row>
    <row r="820" spans="1:21" s="67" customFormat="1" ht="61.5" x14ac:dyDescent="0.9">
      <c r="B820" s="115" t="s">
        <v>925</v>
      </c>
      <c r="C820" s="115"/>
      <c r="D820" s="122" t="s">
        <v>943</v>
      </c>
      <c r="E820" s="122" t="s">
        <v>943</v>
      </c>
      <c r="F820" s="122" t="s">
        <v>943</v>
      </c>
      <c r="G820" s="122" t="s">
        <v>943</v>
      </c>
      <c r="H820" s="122" t="s">
        <v>943</v>
      </c>
      <c r="I820" s="123">
        <f>I821</f>
        <v>654.5</v>
      </c>
      <c r="J820" s="123">
        <f t="shared" ref="J820:L820" si="262">J821</f>
        <v>614.5</v>
      </c>
      <c r="K820" s="123">
        <f t="shared" si="262"/>
        <v>614.5</v>
      </c>
      <c r="L820" s="124">
        <f t="shared" si="262"/>
        <v>19</v>
      </c>
      <c r="M820" s="122" t="s">
        <v>943</v>
      </c>
      <c r="N820" s="122" t="s">
        <v>943</v>
      </c>
      <c r="O820" s="125" t="s">
        <v>943</v>
      </c>
      <c r="P820" s="126">
        <v>2568179.12</v>
      </c>
      <c r="Q820" s="126">
        <f t="shared" ref="Q820:S820" si="263">Q821</f>
        <v>0</v>
      </c>
      <c r="R820" s="126">
        <f t="shared" si="263"/>
        <v>0</v>
      </c>
      <c r="S820" s="126">
        <f t="shared" si="263"/>
        <v>2568179.12</v>
      </c>
      <c r="T820" s="126">
        <f t="shared" si="233"/>
        <v>3923.8794805194807</v>
      </c>
      <c r="U820" s="126">
        <f>MAX(U821)</f>
        <v>4118.5352407944993</v>
      </c>
    </row>
    <row r="821" spans="1:21" s="67" customFormat="1" ht="61.5" x14ac:dyDescent="0.9">
      <c r="A821" s="67">
        <v>1</v>
      </c>
      <c r="B821" s="118">
        <f>SUBTOTAL(103,$A$529:A821)</f>
        <v>263</v>
      </c>
      <c r="C821" s="115" t="s">
        <v>85</v>
      </c>
      <c r="D821" s="122">
        <v>1964</v>
      </c>
      <c r="E821" s="127"/>
      <c r="F821" s="127" t="s">
        <v>274</v>
      </c>
      <c r="G821" s="122">
        <v>2</v>
      </c>
      <c r="H821" s="122">
        <v>2</v>
      </c>
      <c r="I821" s="123">
        <v>654.5</v>
      </c>
      <c r="J821" s="123">
        <v>614.5</v>
      </c>
      <c r="K821" s="123">
        <v>614.5</v>
      </c>
      <c r="L821" s="124">
        <v>19</v>
      </c>
      <c r="M821" s="122" t="s">
        <v>272</v>
      </c>
      <c r="N821" s="122" t="s">
        <v>273</v>
      </c>
      <c r="O821" s="125" t="s">
        <v>275</v>
      </c>
      <c r="P821" s="126">
        <v>2568179.12</v>
      </c>
      <c r="Q821" s="126">
        <v>0</v>
      </c>
      <c r="R821" s="126">
        <v>0</v>
      </c>
      <c r="S821" s="126">
        <f>P821-Q821-R821</f>
        <v>2568179.12</v>
      </c>
      <c r="T821" s="126">
        <f t="shared" si="233"/>
        <v>3923.8794805194807</v>
      </c>
      <c r="U821" s="126">
        <v>4118.5352407944993</v>
      </c>
    </row>
    <row r="822" spans="1:21" s="67" customFormat="1" ht="61.5" x14ac:dyDescent="0.9">
      <c r="B822" s="115" t="s">
        <v>892</v>
      </c>
      <c r="C822" s="119"/>
      <c r="D822" s="122" t="s">
        <v>943</v>
      </c>
      <c r="E822" s="122" t="s">
        <v>943</v>
      </c>
      <c r="F822" s="122" t="s">
        <v>943</v>
      </c>
      <c r="G822" s="122" t="s">
        <v>943</v>
      </c>
      <c r="H822" s="122" t="s">
        <v>943</v>
      </c>
      <c r="I822" s="123">
        <f>I823</f>
        <v>1244.4000000000001</v>
      </c>
      <c r="J822" s="123">
        <f t="shared" ref="J822:L822" si="264">J823</f>
        <v>727.8</v>
      </c>
      <c r="K822" s="123">
        <f t="shared" si="264"/>
        <v>584.79999999999995</v>
      </c>
      <c r="L822" s="124">
        <f t="shared" si="264"/>
        <v>34</v>
      </c>
      <c r="M822" s="122" t="s">
        <v>943</v>
      </c>
      <c r="N822" s="122" t="s">
        <v>943</v>
      </c>
      <c r="O822" s="125" t="s">
        <v>943</v>
      </c>
      <c r="P822" s="126">
        <v>2981647.8</v>
      </c>
      <c r="Q822" s="126">
        <f t="shared" ref="Q822:S822" si="265">Q823</f>
        <v>0</v>
      </c>
      <c r="R822" s="126">
        <f t="shared" si="265"/>
        <v>0</v>
      </c>
      <c r="S822" s="126">
        <f t="shared" si="265"/>
        <v>2981647.8</v>
      </c>
      <c r="T822" s="126">
        <f t="shared" si="233"/>
        <v>2396.0525554484084</v>
      </c>
      <c r="U822" s="126">
        <f>MAX(U823)</f>
        <v>3096.6196319511405</v>
      </c>
    </row>
    <row r="823" spans="1:21" s="67" customFormat="1" ht="61.5" x14ac:dyDescent="0.9">
      <c r="A823" s="67">
        <v>1</v>
      </c>
      <c r="B823" s="118">
        <f>SUBTOTAL(103,$A$529:A823)</f>
        <v>264</v>
      </c>
      <c r="C823" s="115" t="s">
        <v>108</v>
      </c>
      <c r="D823" s="122">
        <v>1975</v>
      </c>
      <c r="E823" s="127"/>
      <c r="F823" s="127" t="s">
        <v>274</v>
      </c>
      <c r="G823" s="122">
        <v>2</v>
      </c>
      <c r="H823" s="122">
        <v>2</v>
      </c>
      <c r="I823" s="123">
        <v>1244.4000000000001</v>
      </c>
      <c r="J823" s="123">
        <v>727.8</v>
      </c>
      <c r="K823" s="123">
        <v>584.79999999999995</v>
      </c>
      <c r="L823" s="124">
        <v>34</v>
      </c>
      <c r="M823" s="122" t="s">
        <v>272</v>
      </c>
      <c r="N823" s="122" t="s">
        <v>273</v>
      </c>
      <c r="O823" s="125" t="s">
        <v>275</v>
      </c>
      <c r="P823" s="126">
        <v>2981647.8</v>
      </c>
      <c r="Q823" s="126">
        <v>0</v>
      </c>
      <c r="R823" s="126">
        <v>0</v>
      </c>
      <c r="S823" s="126">
        <f>P823-Q823-R823</f>
        <v>2981647.8</v>
      </c>
      <c r="T823" s="126">
        <f t="shared" si="233"/>
        <v>2396.0525554484084</v>
      </c>
      <c r="U823" s="126">
        <v>3096.6196319511405</v>
      </c>
    </row>
    <row r="824" spans="1:21" s="67" customFormat="1" ht="61.5" x14ac:dyDescent="0.9">
      <c r="B824" s="115" t="s">
        <v>926</v>
      </c>
      <c r="C824" s="115"/>
      <c r="D824" s="122" t="s">
        <v>943</v>
      </c>
      <c r="E824" s="122" t="s">
        <v>943</v>
      </c>
      <c r="F824" s="122" t="s">
        <v>943</v>
      </c>
      <c r="G824" s="122" t="s">
        <v>943</v>
      </c>
      <c r="H824" s="122" t="s">
        <v>943</v>
      </c>
      <c r="I824" s="123">
        <f>I825</f>
        <v>948.2</v>
      </c>
      <c r="J824" s="123">
        <f t="shared" ref="J824:L824" si="266">J825</f>
        <v>849.8</v>
      </c>
      <c r="K824" s="123">
        <f t="shared" si="266"/>
        <v>803.9</v>
      </c>
      <c r="L824" s="124">
        <f t="shared" si="266"/>
        <v>43</v>
      </c>
      <c r="M824" s="122" t="s">
        <v>943</v>
      </c>
      <c r="N824" s="122" t="s">
        <v>943</v>
      </c>
      <c r="O824" s="125" t="s">
        <v>943</v>
      </c>
      <c r="P824" s="126">
        <v>4290230.8800000008</v>
      </c>
      <c r="Q824" s="126">
        <f t="shared" ref="Q824:S824" si="267">Q825</f>
        <v>0</v>
      </c>
      <c r="R824" s="126">
        <f t="shared" si="267"/>
        <v>0</v>
      </c>
      <c r="S824" s="126">
        <f t="shared" si="267"/>
        <v>4290230.8800000008</v>
      </c>
      <c r="T824" s="126">
        <f t="shared" si="233"/>
        <v>4524.6054418898975</v>
      </c>
      <c r="U824" s="126">
        <f>MAX(U825)</f>
        <v>5847.527011179076</v>
      </c>
    </row>
    <row r="825" spans="1:21" s="67" customFormat="1" ht="61.5" x14ac:dyDescent="0.9">
      <c r="A825" s="67">
        <v>1</v>
      </c>
      <c r="B825" s="118">
        <f>SUBTOTAL(103,$A$529:A825)</f>
        <v>265</v>
      </c>
      <c r="C825" s="115" t="s">
        <v>114</v>
      </c>
      <c r="D825" s="122">
        <v>1978</v>
      </c>
      <c r="E825" s="127"/>
      <c r="F825" s="127" t="s">
        <v>274</v>
      </c>
      <c r="G825" s="122">
        <v>2</v>
      </c>
      <c r="H825" s="122">
        <v>3</v>
      </c>
      <c r="I825" s="123">
        <v>948.2</v>
      </c>
      <c r="J825" s="123">
        <v>849.8</v>
      </c>
      <c r="K825" s="123">
        <v>803.9</v>
      </c>
      <c r="L825" s="124">
        <v>43</v>
      </c>
      <c r="M825" s="122" t="s">
        <v>272</v>
      </c>
      <c r="N825" s="122" t="s">
        <v>273</v>
      </c>
      <c r="O825" s="125" t="s">
        <v>275</v>
      </c>
      <c r="P825" s="126">
        <v>4290230.8800000008</v>
      </c>
      <c r="Q825" s="126">
        <v>0</v>
      </c>
      <c r="R825" s="126">
        <v>0</v>
      </c>
      <c r="S825" s="126">
        <f>P825-Q825-R825</f>
        <v>4290230.8800000008</v>
      </c>
      <c r="T825" s="126">
        <f t="shared" si="233"/>
        <v>4524.6054418898975</v>
      </c>
      <c r="U825" s="126">
        <v>5847.527011179076</v>
      </c>
    </row>
    <row r="826" spans="1:21" s="67" customFormat="1" ht="61.5" x14ac:dyDescent="0.9">
      <c r="B826" s="115" t="s">
        <v>927</v>
      </c>
      <c r="C826" s="115"/>
      <c r="D826" s="122" t="s">
        <v>943</v>
      </c>
      <c r="E826" s="122" t="s">
        <v>943</v>
      </c>
      <c r="F826" s="122" t="s">
        <v>943</v>
      </c>
      <c r="G826" s="122" t="s">
        <v>943</v>
      </c>
      <c r="H826" s="122" t="s">
        <v>943</v>
      </c>
      <c r="I826" s="123">
        <f>I827</f>
        <v>779.2</v>
      </c>
      <c r="J826" s="123">
        <f t="shared" ref="J826:L826" si="268">J827</f>
        <v>720.2</v>
      </c>
      <c r="K826" s="123">
        <f t="shared" si="268"/>
        <v>720.2</v>
      </c>
      <c r="L826" s="124">
        <f t="shared" si="268"/>
        <v>33</v>
      </c>
      <c r="M826" s="122" t="s">
        <v>943</v>
      </c>
      <c r="N826" s="122" t="s">
        <v>943</v>
      </c>
      <c r="O826" s="125" t="s">
        <v>943</v>
      </c>
      <c r="P826" s="126">
        <v>2903320.8000000003</v>
      </c>
      <c r="Q826" s="126">
        <f t="shared" ref="Q826:S826" si="269">Q827</f>
        <v>0</v>
      </c>
      <c r="R826" s="126">
        <f t="shared" si="269"/>
        <v>0</v>
      </c>
      <c r="S826" s="126">
        <f t="shared" si="269"/>
        <v>2903320.8000000003</v>
      </c>
      <c r="T826" s="126">
        <f t="shared" si="233"/>
        <v>3726.0277207392201</v>
      </c>
      <c r="U826" s="126">
        <f>MAX(U827)</f>
        <v>4815.4580595482539</v>
      </c>
    </row>
    <row r="827" spans="1:21" s="67" customFormat="1" ht="61.5" x14ac:dyDescent="0.9">
      <c r="A827" s="67">
        <v>1</v>
      </c>
      <c r="B827" s="118">
        <f>SUBTOTAL(103,$A$529:A827)</f>
        <v>266</v>
      </c>
      <c r="C827" s="115" t="s">
        <v>113</v>
      </c>
      <c r="D827" s="122">
        <v>1974</v>
      </c>
      <c r="E827" s="127"/>
      <c r="F827" s="127" t="s">
        <v>274</v>
      </c>
      <c r="G827" s="122">
        <v>2</v>
      </c>
      <c r="H827" s="122">
        <v>2</v>
      </c>
      <c r="I827" s="123">
        <v>779.2</v>
      </c>
      <c r="J827" s="123">
        <v>720.2</v>
      </c>
      <c r="K827" s="123">
        <v>720.2</v>
      </c>
      <c r="L827" s="124">
        <v>33</v>
      </c>
      <c r="M827" s="122" t="s">
        <v>272</v>
      </c>
      <c r="N827" s="122" t="s">
        <v>273</v>
      </c>
      <c r="O827" s="125" t="s">
        <v>275</v>
      </c>
      <c r="P827" s="126">
        <v>2903320.8000000003</v>
      </c>
      <c r="Q827" s="126">
        <v>0</v>
      </c>
      <c r="R827" s="126">
        <v>0</v>
      </c>
      <c r="S827" s="126">
        <f>P827-Q827-R827</f>
        <v>2903320.8000000003</v>
      </c>
      <c r="T827" s="126">
        <f t="shared" si="233"/>
        <v>3726.0277207392201</v>
      </c>
      <c r="U827" s="126">
        <v>4815.4580595482539</v>
      </c>
    </row>
    <row r="828" spans="1:21" s="67" customFormat="1" ht="61.5" x14ac:dyDescent="0.9">
      <c r="B828" s="115" t="s">
        <v>893</v>
      </c>
      <c r="C828" s="119"/>
      <c r="D828" s="122" t="s">
        <v>943</v>
      </c>
      <c r="E828" s="122" t="s">
        <v>943</v>
      </c>
      <c r="F828" s="122" t="s">
        <v>943</v>
      </c>
      <c r="G828" s="122" t="s">
        <v>943</v>
      </c>
      <c r="H828" s="122" t="s">
        <v>943</v>
      </c>
      <c r="I828" s="123">
        <f>I829</f>
        <v>1015.6</v>
      </c>
      <c r="J828" s="123">
        <f t="shared" ref="J828:L828" si="270">J829</f>
        <v>926.7</v>
      </c>
      <c r="K828" s="123">
        <f t="shared" si="270"/>
        <v>497.5</v>
      </c>
      <c r="L828" s="124">
        <f t="shared" si="270"/>
        <v>47</v>
      </c>
      <c r="M828" s="122" t="s">
        <v>943</v>
      </c>
      <c r="N828" s="122" t="s">
        <v>943</v>
      </c>
      <c r="O828" s="125" t="s">
        <v>943</v>
      </c>
      <c r="P828" s="126">
        <v>3826397.3000000003</v>
      </c>
      <c r="Q828" s="126">
        <f t="shared" ref="Q828:S828" si="271">Q829</f>
        <v>0</v>
      </c>
      <c r="R828" s="126">
        <f t="shared" si="271"/>
        <v>2523423.19</v>
      </c>
      <c r="S828" s="126">
        <f t="shared" si="271"/>
        <v>1302974.1100000003</v>
      </c>
      <c r="T828" s="126">
        <f t="shared" si="233"/>
        <v>3767.6223907050021</v>
      </c>
      <c r="U828" s="126">
        <f>MAX(U829)</f>
        <v>5278.0515468688454</v>
      </c>
    </row>
    <row r="829" spans="1:21" s="67" customFormat="1" ht="61.5" x14ac:dyDescent="0.9">
      <c r="A829" s="67">
        <v>1</v>
      </c>
      <c r="B829" s="118">
        <f>SUBTOTAL(103,$A$529:A829)</f>
        <v>267</v>
      </c>
      <c r="C829" s="115" t="s">
        <v>58</v>
      </c>
      <c r="D829" s="122">
        <v>1972</v>
      </c>
      <c r="E829" s="127"/>
      <c r="F829" s="127" t="s">
        <v>274</v>
      </c>
      <c r="G829" s="122">
        <v>2</v>
      </c>
      <c r="H829" s="122">
        <v>3</v>
      </c>
      <c r="I829" s="123">
        <v>1015.6</v>
      </c>
      <c r="J829" s="123">
        <v>926.7</v>
      </c>
      <c r="K829" s="123">
        <v>497.5</v>
      </c>
      <c r="L829" s="124">
        <v>47</v>
      </c>
      <c r="M829" s="122" t="s">
        <v>272</v>
      </c>
      <c r="N829" s="122" t="s">
        <v>273</v>
      </c>
      <c r="O829" s="125" t="s">
        <v>275</v>
      </c>
      <c r="P829" s="126">
        <v>3826397.3000000003</v>
      </c>
      <c r="Q829" s="126">
        <v>0</v>
      </c>
      <c r="R829" s="126">
        <v>2523423.19</v>
      </c>
      <c r="S829" s="126">
        <f>P829-Q829-R829</f>
        <v>1302974.1100000003</v>
      </c>
      <c r="T829" s="126">
        <f t="shared" si="233"/>
        <v>3767.6223907050021</v>
      </c>
      <c r="U829" s="126">
        <v>5278.0515468688454</v>
      </c>
    </row>
    <row r="830" spans="1:21" s="67" customFormat="1" ht="61.5" x14ac:dyDescent="0.9">
      <c r="B830" s="115" t="s">
        <v>894</v>
      </c>
      <c r="C830" s="115"/>
      <c r="D830" s="122" t="s">
        <v>943</v>
      </c>
      <c r="E830" s="122" t="s">
        <v>943</v>
      </c>
      <c r="F830" s="122" t="s">
        <v>943</v>
      </c>
      <c r="G830" s="122" t="s">
        <v>943</v>
      </c>
      <c r="H830" s="122" t="s">
        <v>943</v>
      </c>
      <c r="I830" s="123">
        <f>I831</f>
        <v>5979.1</v>
      </c>
      <c r="J830" s="123">
        <f t="shared" ref="J830:L830" si="272">J831</f>
        <v>5979.1</v>
      </c>
      <c r="K830" s="123">
        <f t="shared" si="272"/>
        <v>4563.9399999999996</v>
      </c>
      <c r="L830" s="124">
        <f t="shared" si="272"/>
        <v>217</v>
      </c>
      <c r="M830" s="122" t="s">
        <v>943</v>
      </c>
      <c r="N830" s="122" t="s">
        <v>943</v>
      </c>
      <c r="O830" s="125" t="s">
        <v>943</v>
      </c>
      <c r="P830" s="126">
        <v>5858309.4800000004</v>
      </c>
      <c r="Q830" s="126">
        <f t="shared" ref="Q830:S830" si="273">Q831</f>
        <v>0</v>
      </c>
      <c r="R830" s="126">
        <f t="shared" si="273"/>
        <v>0</v>
      </c>
      <c r="S830" s="126">
        <f t="shared" si="273"/>
        <v>5858309.4800000004</v>
      </c>
      <c r="T830" s="126">
        <f t="shared" si="233"/>
        <v>979.79787593450521</v>
      </c>
      <c r="U830" s="126">
        <f>MAX(U831)</f>
        <v>1778.8206117977622</v>
      </c>
    </row>
    <row r="831" spans="1:21" s="67" customFormat="1" ht="61.5" x14ac:dyDescent="0.9">
      <c r="A831" s="67">
        <v>1</v>
      </c>
      <c r="B831" s="118">
        <f>SUBTOTAL(103,$A$529:A831)</f>
        <v>268</v>
      </c>
      <c r="C831" s="115" t="s">
        <v>41</v>
      </c>
      <c r="D831" s="122">
        <v>1974</v>
      </c>
      <c r="E831" s="127"/>
      <c r="F831" s="127" t="s">
        <v>274</v>
      </c>
      <c r="G831" s="122">
        <v>5</v>
      </c>
      <c r="H831" s="122">
        <v>6</v>
      </c>
      <c r="I831" s="123">
        <v>5979.1</v>
      </c>
      <c r="J831" s="123">
        <v>5979.1</v>
      </c>
      <c r="K831" s="123">
        <v>4563.9399999999996</v>
      </c>
      <c r="L831" s="124">
        <v>217</v>
      </c>
      <c r="M831" s="122" t="s">
        <v>272</v>
      </c>
      <c r="N831" s="122" t="s">
        <v>276</v>
      </c>
      <c r="O831" s="125" t="s">
        <v>277</v>
      </c>
      <c r="P831" s="126">
        <v>5858309.4800000004</v>
      </c>
      <c r="Q831" s="126">
        <v>0</v>
      </c>
      <c r="R831" s="126">
        <v>0</v>
      </c>
      <c r="S831" s="126">
        <f>P831-Q831-R831</f>
        <v>5858309.4800000004</v>
      </c>
      <c r="T831" s="126">
        <f t="shared" si="233"/>
        <v>979.79787593450521</v>
      </c>
      <c r="U831" s="126">
        <v>1778.8206117977622</v>
      </c>
    </row>
    <row r="832" spans="1:21" s="67" customFormat="1" ht="61.5" x14ac:dyDescent="0.9">
      <c r="B832" s="115" t="s">
        <v>928</v>
      </c>
      <c r="C832" s="115"/>
      <c r="D832" s="122" t="s">
        <v>943</v>
      </c>
      <c r="E832" s="122" t="s">
        <v>943</v>
      </c>
      <c r="F832" s="122" t="s">
        <v>943</v>
      </c>
      <c r="G832" s="122" t="s">
        <v>943</v>
      </c>
      <c r="H832" s="122" t="s">
        <v>943</v>
      </c>
      <c r="I832" s="123">
        <f>I833</f>
        <v>822.2</v>
      </c>
      <c r="J832" s="123">
        <f t="shared" ref="J832:L832" si="274">J833</f>
        <v>760.8</v>
      </c>
      <c r="K832" s="123">
        <f t="shared" si="274"/>
        <v>760.8</v>
      </c>
      <c r="L832" s="124">
        <f t="shared" si="274"/>
        <v>34</v>
      </c>
      <c r="M832" s="122" t="s">
        <v>943</v>
      </c>
      <c r="N832" s="122" t="s">
        <v>943</v>
      </c>
      <c r="O832" s="125" t="s">
        <v>943</v>
      </c>
      <c r="P832" s="126">
        <v>3274450.4</v>
      </c>
      <c r="Q832" s="126">
        <f t="shared" ref="Q832:S832" si="275">Q833</f>
        <v>0</v>
      </c>
      <c r="R832" s="126">
        <f t="shared" si="275"/>
        <v>0</v>
      </c>
      <c r="S832" s="126">
        <f t="shared" si="275"/>
        <v>3274450.4</v>
      </c>
      <c r="T832" s="126">
        <f t="shared" si="233"/>
        <v>3982.5473120895158</v>
      </c>
      <c r="U832" s="126">
        <f>MAX(U833)</f>
        <v>5005.203096570177</v>
      </c>
    </row>
    <row r="833" spans="1:21" s="67" customFormat="1" ht="61.5" x14ac:dyDescent="0.9">
      <c r="A833" s="67">
        <v>1</v>
      </c>
      <c r="B833" s="118">
        <f>SUBTOTAL(103,$A$529:A833)</f>
        <v>269</v>
      </c>
      <c r="C833" s="115" t="s">
        <v>56</v>
      </c>
      <c r="D833" s="122">
        <v>1968</v>
      </c>
      <c r="E833" s="127"/>
      <c r="F833" s="127" t="s">
        <v>274</v>
      </c>
      <c r="G833" s="122">
        <v>2</v>
      </c>
      <c r="H833" s="122">
        <v>2</v>
      </c>
      <c r="I833" s="123">
        <v>822.2</v>
      </c>
      <c r="J833" s="123">
        <v>760.8</v>
      </c>
      <c r="K833" s="123">
        <v>760.8</v>
      </c>
      <c r="L833" s="124">
        <v>34</v>
      </c>
      <c r="M833" s="122" t="s">
        <v>272</v>
      </c>
      <c r="N833" s="122" t="s">
        <v>276</v>
      </c>
      <c r="O833" s="125" t="s">
        <v>282</v>
      </c>
      <c r="P833" s="126">
        <v>3274450.4</v>
      </c>
      <c r="Q833" s="126">
        <v>0</v>
      </c>
      <c r="R833" s="126">
        <v>0</v>
      </c>
      <c r="S833" s="126">
        <f>P833-Q833-R833</f>
        <v>3274450.4</v>
      </c>
      <c r="T833" s="126">
        <f t="shared" si="233"/>
        <v>3982.5473120895158</v>
      </c>
      <c r="U833" s="126">
        <v>5005.203096570177</v>
      </c>
    </row>
    <row r="834" spans="1:21" s="67" customFormat="1" ht="61.5" x14ac:dyDescent="0.9">
      <c r="B834" s="115" t="s">
        <v>895</v>
      </c>
      <c r="C834" s="115"/>
      <c r="D834" s="122" t="s">
        <v>943</v>
      </c>
      <c r="E834" s="122" t="s">
        <v>943</v>
      </c>
      <c r="F834" s="122" t="s">
        <v>943</v>
      </c>
      <c r="G834" s="122" t="s">
        <v>943</v>
      </c>
      <c r="H834" s="122" t="s">
        <v>943</v>
      </c>
      <c r="I834" s="123">
        <f>I835+I836</f>
        <v>5287.69</v>
      </c>
      <c r="J834" s="123">
        <f t="shared" ref="J834:L834" si="276">J835+J836</f>
        <v>3723.1000000000004</v>
      </c>
      <c r="K834" s="123">
        <f t="shared" si="276"/>
        <v>3632.3100000000004</v>
      </c>
      <c r="L834" s="124">
        <f t="shared" si="276"/>
        <v>232</v>
      </c>
      <c r="M834" s="122" t="s">
        <v>943</v>
      </c>
      <c r="N834" s="122" t="s">
        <v>943</v>
      </c>
      <c r="O834" s="125" t="s">
        <v>943</v>
      </c>
      <c r="P834" s="126">
        <v>8667488.9900000002</v>
      </c>
      <c r="Q834" s="126">
        <f t="shared" ref="Q834:S834" si="277">Q835+Q836</f>
        <v>0</v>
      </c>
      <c r="R834" s="126">
        <f t="shared" si="277"/>
        <v>0</v>
      </c>
      <c r="S834" s="126">
        <f t="shared" si="277"/>
        <v>8667488.9900000002</v>
      </c>
      <c r="T834" s="126">
        <f t="shared" si="233"/>
        <v>1639.1825144817492</v>
      </c>
      <c r="U834" s="126">
        <f>MAX(U835:U836)</f>
        <v>6751.3960343383587</v>
      </c>
    </row>
    <row r="835" spans="1:21" s="67" customFormat="1" ht="61.5" x14ac:dyDescent="0.9">
      <c r="A835" s="67">
        <v>1</v>
      </c>
      <c r="B835" s="118">
        <f>SUBTOTAL(103,$A$529:A835)</f>
        <v>270</v>
      </c>
      <c r="C835" s="115" t="s">
        <v>57</v>
      </c>
      <c r="D835" s="122">
        <v>1972</v>
      </c>
      <c r="E835" s="127"/>
      <c r="F835" s="127" t="s">
        <v>274</v>
      </c>
      <c r="G835" s="122">
        <v>5</v>
      </c>
      <c r="H835" s="122">
        <v>8</v>
      </c>
      <c r="I835" s="123">
        <v>4571.29</v>
      </c>
      <c r="J835" s="123">
        <v>3066.4</v>
      </c>
      <c r="K835" s="123">
        <v>2975.61</v>
      </c>
      <c r="L835" s="124">
        <v>203</v>
      </c>
      <c r="M835" s="122" t="s">
        <v>272</v>
      </c>
      <c r="N835" s="122" t="s">
        <v>276</v>
      </c>
      <c r="O835" s="125" t="s">
        <v>278</v>
      </c>
      <c r="P835" s="126">
        <v>4719977.0600000005</v>
      </c>
      <c r="Q835" s="126">
        <v>0</v>
      </c>
      <c r="R835" s="126">
        <v>0</v>
      </c>
      <c r="S835" s="126">
        <f t="shared" ref="S835:S836" si="278">P835-Q835-R835</f>
        <v>4719977.0600000005</v>
      </c>
      <c r="T835" s="126">
        <f t="shared" si="233"/>
        <v>1032.5262803278727</v>
      </c>
      <c r="U835" s="126">
        <v>2928.86</v>
      </c>
    </row>
    <row r="836" spans="1:21" s="67" customFormat="1" ht="61.5" x14ac:dyDescent="0.9">
      <c r="A836" s="67">
        <v>1</v>
      </c>
      <c r="B836" s="118">
        <f>SUBTOTAL(103,$A$529:A836)</f>
        <v>271</v>
      </c>
      <c r="C836" s="115" t="s">
        <v>46</v>
      </c>
      <c r="D836" s="122">
        <v>1972</v>
      </c>
      <c r="E836" s="127"/>
      <c r="F836" s="127" t="s">
        <v>274</v>
      </c>
      <c r="G836" s="122">
        <v>2</v>
      </c>
      <c r="H836" s="122">
        <v>2</v>
      </c>
      <c r="I836" s="123">
        <v>716.4</v>
      </c>
      <c r="J836" s="123">
        <v>656.7</v>
      </c>
      <c r="K836" s="123">
        <v>656.7</v>
      </c>
      <c r="L836" s="124">
        <v>29</v>
      </c>
      <c r="M836" s="122" t="s">
        <v>272</v>
      </c>
      <c r="N836" s="122" t="s">
        <v>276</v>
      </c>
      <c r="O836" s="125" t="s">
        <v>278</v>
      </c>
      <c r="P836" s="126">
        <v>3947511.93</v>
      </c>
      <c r="Q836" s="126">
        <v>0</v>
      </c>
      <c r="R836" s="126">
        <v>0</v>
      </c>
      <c r="S836" s="126">
        <f t="shared" si="278"/>
        <v>3947511.93</v>
      </c>
      <c r="T836" s="126">
        <f t="shared" si="233"/>
        <v>5510.20649078727</v>
      </c>
      <c r="U836" s="126">
        <v>6751.3960343383587</v>
      </c>
    </row>
    <row r="837" spans="1:21" s="67" customFormat="1" ht="61.5" x14ac:dyDescent="0.9">
      <c r="B837" s="115" t="s">
        <v>896</v>
      </c>
      <c r="C837" s="115"/>
      <c r="D837" s="122" t="s">
        <v>943</v>
      </c>
      <c r="E837" s="122" t="s">
        <v>943</v>
      </c>
      <c r="F837" s="122" t="s">
        <v>943</v>
      </c>
      <c r="G837" s="122" t="s">
        <v>943</v>
      </c>
      <c r="H837" s="122" t="s">
        <v>943</v>
      </c>
      <c r="I837" s="123">
        <f>I838</f>
        <v>5889.36</v>
      </c>
      <c r="J837" s="123">
        <f t="shared" ref="J837:L837" si="279">J838</f>
        <v>4270.6000000000004</v>
      </c>
      <c r="K837" s="123">
        <f t="shared" si="279"/>
        <v>4123.1000000000004</v>
      </c>
      <c r="L837" s="124">
        <f t="shared" si="279"/>
        <v>172</v>
      </c>
      <c r="M837" s="122" t="s">
        <v>943</v>
      </c>
      <c r="N837" s="122" t="s">
        <v>943</v>
      </c>
      <c r="O837" s="125" t="s">
        <v>943</v>
      </c>
      <c r="P837" s="126">
        <v>7408727.5099999998</v>
      </c>
      <c r="Q837" s="126">
        <f t="shared" ref="Q837:S837" si="280">Q838</f>
        <v>0</v>
      </c>
      <c r="R837" s="126">
        <f t="shared" si="280"/>
        <v>0</v>
      </c>
      <c r="S837" s="126">
        <f t="shared" si="280"/>
        <v>7408727.5099999998</v>
      </c>
      <c r="T837" s="126">
        <f t="shared" si="233"/>
        <v>1257.9851647717239</v>
      </c>
      <c r="U837" s="126">
        <f>MAX(U838)</f>
        <v>1912.7227821019603</v>
      </c>
    </row>
    <row r="838" spans="1:21" s="67" customFormat="1" ht="61.5" x14ac:dyDescent="0.9">
      <c r="A838" s="67">
        <v>1</v>
      </c>
      <c r="B838" s="118">
        <f>SUBTOTAL(103,$A$529:A838)</f>
        <v>272</v>
      </c>
      <c r="C838" s="115" t="s">
        <v>55</v>
      </c>
      <c r="D838" s="122">
        <v>1989</v>
      </c>
      <c r="E838" s="127"/>
      <c r="F838" s="127" t="s">
        <v>274</v>
      </c>
      <c r="G838" s="122">
        <v>5</v>
      </c>
      <c r="H838" s="122">
        <v>6</v>
      </c>
      <c r="I838" s="123">
        <v>5889.36</v>
      </c>
      <c r="J838" s="123">
        <v>4270.6000000000004</v>
      </c>
      <c r="K838" s="123">
        <v>4123.1000000000004</v>
      </c>
      <c r="L838" s="124">
        <v>172</v>
      </c>
      <c r="M838" s="122" t="s">
        <v>272</v>
      </c>
      <c r="N838" s="122" t="s">
        <v>276</v>
      </c>
      <c r="O838" s="125" t="s">
        <v>280</v>
      </c>
      <c r="P838" s="126">
        <v>7408727.5099999998</v>
      </c>
      <c r="Q838" s="126">
        <v>0</v>
      </c>
      <c r="R838" s="126">
        <v>0</v>
      </c>
      <c r="S838" s="126">
        <f>P838-Q838-R838</f>
        <v>7408727.5099999998</v>
      </c>
      <c r="T838" s="126">
        <f t="shared" si="233"/>
        <v>1257.9851647717239</v>
      </c>
      <c r="U838" s="126">
        <v>1912.7227821019603</v>
      </c>
    </row>
    <row r="839" spans="1:21" s="67" customFormat="1" ht="61.5" x14ac:dyDescent="0.9">
      <c r="B839" s="115" t="s">
        <v>897</v>
      </c>
      <c r="C839" s="115"/>
      <c r="D839" s="122" t="s">
        <v>943</v>
      </c>
      <c r="E839" s="122" t="s">
        <v>943</v>
      </c>
      <c r="F839" s="122" t="s">
        <v>943</v>
      </c>
      <c r="G839" s="122" t="s">
        <v>943</v>
      </c>
      <c r="H839" s="122" t="s">
        <v>943</v>
      </c>
      <c r="I839" s="123">
        <f>I840</f>
        <v>485.3</v>
      </c>
      <c r="J839" s="123">
        <f t="shared" ref="J839:L839" si="281">J840</f>
        <v>441.3</v>
      </c>
      <c r="K839" s="123">
        <f t="shared" si="281"/>
        <v>441.3</v>
      </c>
      <c r="L839" s="124">
        <f t="shared" si="281"/>
        <v>24</v>
      </c>
      <c r="M839" s="122" t="s">
        <v>943</v>
      </c>
      <c r="N839" s="122" t="s">
        <v>943</v>
      </c>
      <c r="O839" s="125" t="s">
        <v>943</v>
      </c>
      <c r="P839" s="126">
        <v>2311215.4500000002</v>
      </c>
      <c r="Q839" s="126">
        <f t="shared" ref="Q839:S839" si="282">Q840</f>
        <v>0</v>
      </c>
      <c r="R839" s="126">
        <f t="shared" si="282"/>
        <v>0</v>
      </c>
      <c r="S839" s="126">
        <f t="shared" si="282"/>
        <v>2311215.4500000002</v>
      </c>
      <c r="T839" s="126">
        <f t="shared" si="233"/>
        <v>4762.4468370080367</v>
      </c>
      <c r="U839" s="126">
        <f>MAX(U840)</f>
        <v>6174.2532042035855</v>
      </c>
    </row>
    <row r="840" spans="1:21" s="67" customFormat="1" ht="61.5" x14ac:dyDescent="0.9">
      <c r="A840" s="67">
        <v>1</v>
      </c>
      <c r="B840" s="118">
        <f>SUBTOTAL(103,$A$529:A840)</f>
        <v>273</v>
      </c>
      <c r="C840" s="115" t="s">
        <v>54</v>
      </c>
      <c r="D840" s="122">
        <v>1952</v>
      </c>
      <c r="E840" s="127"/>
      <c r="F840" s="127" t="s">
        <v>274</v>
      </c>
      <c r="G840" s="122">
        <v>2</v>
      </c>
      <c r="H840" s="122">
        <v>2</v>
      </c>
      <c r="I840" s="123">
        <v>485.3</v>
      </c>
      <c r="J840" s="123">
        <v>441.3</v>
      </c>
      <c r="K840" s="123">
        <v>441.3</v>
      </c>
      <c r="L840" s="124">
        <v>24</v>
      </c>
      <c r="M840" s="122" t="s">
        <v>272</v>
      </c>
      <c r="N840" s="122" t="s">
        <v>276</v>
      </c>
      <c r="O840" s="125" t="s">
        <v>281</v>
      </c>
      <c r="P840" s="126">
        <v>2311215.4500000002</v>
      </c>
      <c r="Q840" s="126">
        <v>0</v>
      </c>
      <c r="R840" s="126">
        <v>0</v>
      </c>
      <c r="S840" s="126">
        <f>P840-Q840-R840</f>
        <v>2311215.4500000002</v>
      </c>
      <c r="T840" s="126">
        <f t="shared" si="233"/>
        <v>4762.4468370080367</v>
      </c>
      <c r="U840" s="126">
        <v>6174.2532042035855</v>
      </c>
    </row>
    <row r="841" spans="1:21" s="67" customFormat="1" ht="61.5" x14ac:dyDescent="0.9">
      <c r="B841" s="115" t="s">
        <v>898</v>
      </c>
      <c r="C841" s="115"/>
      <c r="D841" s="122" t="s">
        <v>943</v>
      </c>
      <c r="E841" s="122" t="s">
        <v>943</v>
      </c>
      <c r="F841" s="122" t="s">
        <v>943</v>
      </c>
      <c r="G841" s="122" t="s">
        <v>943</v>
      </c>
      <c r="H841" s="122" t="s">
        <v>943</v>
      </c>
      <c r="I841" s="123">
        <f>SUM(I842:I846)</f>
        <v>4891.9000000000005</v>
      </c>
      <c r="J841" s="123">
        <f t="shared" ref="J841:L841" si="283">SUM(J842:J846)</f>
        <v>4511.3200000000006</v>
      </c>
      <c r="K841" s="123">
        <f t="shared" si="283"/>
        <v>4393.6699999999992</v>
      </c>
      <c r="L841" s="124">
        <f t="shared" si="283"/>
        <v>172</v>
      </c>
      <c r="M841" s="122" t="s">
        <v>943</v>
      </c>
      <c r="N841" s="122" t="s">
        <v>943</v>
      </c>
      <c r="O841" s="125" t="s">
        <v>943</v>
      </c>
      <c r="P841" s="126">
        <v>16487311.32</v>
      </c>
      <c r="Q841" s="126">
        <f t="shared" ref="Q841:S841" si="284">Q842+Q843+Q844+Q845+Q846</f>
        <v>0</v>
      </c>
      <c r="R841" s="126">
        <f t="shared" si="284"/>
        <v>0</v>
      </c>
      <c r="S841" s="126">
        <f t="shared" si="284"/>
        <v>16487311.32</v>
      </c>
      <c r="T841" s="126">
        <f t="shared" si="233"/>
        <v>3370.3287720517587</v>
      </c>
      <c r="U841" s="126">
        <f>MAX(U842:U846)</f>
        <v>7546.6895967468654</v>
      </c>
    </row>
    <row r="842" spans="1:21" s="67" customFormat="1" ht="61.5" x14ac:dyDescent="0.9">
      <c r="A842" s="67">
        <v>1</v>
      </c>
      <c r="B842" s="118">
        <f>SUBTOTAL(103,$A$529:A842)</f>
        <v>274</v>
      </c>
      <c r="C842" s="115" t="s">
        <v>61</v>
      </c>
      <c r="D842" s="122">
        <v>1970</v>
      </c>
      <c r="E842" s="127"/>
      <c r="F842" s="127" t="s">
        <v>274</v>
      </c>
      <c r="G842" s="122">
        <v>5</v>
      </c>
      <c r="H842" s="122">
        <v>2</v>
      </c>
      <c r="I842" s="123">
        <v>2323.8000000000002</v>
      </c>
      <c r="J842" s="123">
        <v>2172.1400000000003</v>
      </c>
      <c r="K842" s="123">
        <v>2094.89</v>
      </c>
      <c r="L842" s="124">
        <v>51</v>
      </c>
      <c r="M842" s="122" t="s">
        <v>272</v>
      </c>
      <c r="N842" s="122" t="s">
        <v>276</v>
      </c>
      <c r="O842" s="125" t="s">
        <v>283</v>
      </c>
      <c r="P842" s="126">
        <v>3462053.4</v>
      </c>
      <c r="Q842" s="126">
        <v>0</v>
      </c>
      <c r="R842" s="126">
        <v>0</v>
      </c>
      <c r="S842" s="126">
        <f t="shared" ref="S842:S846" si="285">P842-Q842-R842</f>
        <v>3462053.4</v>
      </c>
      <c r="T842" s="126">
        <f t="shared" si="233"/>
        <v>1489.8241673121609</v>
      </c>
      <c r="U842" s="126">
        <v>1925.424696617609</v>
      </c>
    </row>
    <row r="843" spans="1:21" s="67" customFormat="1" ht="61.5" x14ac:dyDescent="0.9">
      <c r="A843" s="67">
        <v>1</v>
      </c>
      <c r="B843" s="118">
        <f>SUBTOTAL(103,$A$529:A843)</f>
        <v>275</v>
      </c>
      <c r="C843" s="115" t="s">
        <v>62</v>
      </c>
      <c r="D843" s="122">
        <v>1972</v>
      </c>
      <c r="E843" s="127"/>
      <c r="F843" s="127" t="s">
        <v>274</v>
      </c>
      <c r="G843" s="122">
        <v>2</v>
      </c>
      <c r="H843" s="122">
        <v>2</v>
      </c>
      <c r="I843" s="123">
        <v>590.20000000000005</v>
      </c>
      <c r="J843" s="123">
        <v>529.80000000000007</v>
      </c>
      <c r="K843" s="123">
        <v>529.79999999999995</v>
      </c>
      <c r="L843" s="124">
        <v>31</v>
      </c>
      <c r="M843" s="122" t="s">
        <v>272</v>
      </c>
      <c r="N843" s="122" t="s">
        <v>273</v>
      </c>
      <c r="O843" s="125" t="s">
        <v>275</v>
      </c>
      <c r="P843" s="126">
        <v>3446388</v>
      </c>
      <c r="Q843" s="126">
        <v>0</v>
      </c>
      <c r="R843" s="126">
        <v>0</v>
      </c>
      <c r="S843" s="126">
        <f t="shared" si="285"/>
        <v>3446388</v>
      </c>
      <c r="T843" s="126">
        <f t="shared" si="233"/>
        <v>5839.3561504574718</v>
      </c>
      <c r="U843" s="126">
        <v>7546.6895967468654</v>
      </c>
    </row>
    <row r="844" spans="1:21" s="67" customFormat="1" ht="61.5" x14ac:dyDescent="0.9">
      <c r="A844" s="67">
        <v>1</v>
      </c>
      <c r="B844" s="118">
        <f>SUBTOTAL(103,$A$529:A844)</f>
        <v>276</v>
      </c>
      <c r="C844" s="115" t="s">
        <v>60</v>
      </c>
      <c r="D844" s="122">
        <v>1974</v>
      </c>
      <c r="E844" s="127"/>
      <c r="F844" s="127" t="s">
        <v>274</v>
      </c>
      <c r="G844" s="122">
        <v>2</v>
      </c>
      <c r="H844" s="122">
        <v>2</v>
      </c>
      <c r="I844" s="123">
        <v>701.7</v>
      </c>
      <c r="J844" s="123">
        <v>641.1</v>
      </c>
      <c r="K844" s="123">
        <v>600.70000000000005</v>
      </c>
      <c r="L844" s="124">
        <v>36</v>
      </c>
      <c r="M844" s="122" t="s">
        <v>272</v>
      </c>
      <c r="N844" s="122" t="s">
        <v>273</v>
      </c>
      <c r="O844" s="125" t="s">
        <v>275</v>
      </c>
      <c r="P844" s="126">
        <v>3378504.6</v>
      </c>
      <c r="Q844" s="126">
        <v>0</v>
      </c>
      <c r="R844" s="126">
        <v>0</v>
      </c>
      <c r="S844" s="126">
        <f t="shared" si="285"/>
        <v>3378504.6</v>
      </c>
      <c r="T844" s="126">
        <f t="shared" si="233"/>
        <v>4814.7421975203079</v>
      </c>
      <c r="U844" s="126">
        <v>6222.4950691178565</v>
      </c>
    </row>
    <row r="845" spans="1:21" s="67" customFormat="1" ht="61.5" x14ac:dyDescent="0.9">
      <c r="A845" s="67">
        <v>1</v>
      </c>
      <c r="B845" s="118">
        <f>SUBTOTAL(103,$A$529:A845)</f>
        <v>277</v>
      </c>
      <c r="C845" s="115" t="s">
        <v>63</v>
      </c>
      <c r="D845" s="122">
        <v>1982</v>
      </c>
      <c r="E845" s="127"/>
      <c r="F845" s="127" t="s">
        <v>274</v>
      </c>
      <c r="G845" s="122">
        <v>2</v>
      </c>
      <c r="H845" s="122">
        <v>2</v>
      </c>
      <c r="I845" s="123">
        <v>549.6</v>
      </c>
      <c r="J845" s="123">
        <v>502.6</v>
      </c>
      <c r="K845" s="123">
        <v>502.6</v>
      </c>
      <c r="L845" s="124">
        <v>25</v>
      </c>
      <c r="M845" s="122" t="s">
        <v>272</v>
      </c>
      <c r="N845" s="122" t="s">
        <v>273</v>
      </c>
      <c r="O845" s="125" t="s">
        <v>275</v>
      </c>
      <c r="P845" s="126">
        <v>2799929.1599999997</v>
      </c>
      <c r="Q845" s="126">
        <v>0</v>
      </c>
      <c r="R845" s="126">
        <v>0</v>
      </c>
      <c r="S845" s="126">
        <f t="shared" si="285"/>
        <v>2799929.1599999997</v>
      </c>
      <c r="T845" s="126">
        <f t="shared" si="233"/>
        <v>5094.4853711790383</v>
      </c>
      <c r="U845" s="126">
        <v>6584.0306295487626</v>
      </c>
    </row>
    <row r="846" spans="1:21" s="67" customFormat="1" ht="61.5" x14ac:dyDescent="0.9">
      <c r="A846" s="67">
        <v>1</v>
      </c>
      <c r="B846" s="118">
        <f>SUBTOTAL(103,$A$529:A846)</f>
        <v>278</v>
      </c>
      <c r="C846" s="115" t="s">
        <v>59</v>
      </c>
      <c r="D846" s="122">
        <v>1970</v>
      </c>
      <c r="E846" s="127"/>
      <c r="F846" s="127" t="s">
        <v>274</v>
      </c>
      <c r="G846" s="122">
        <v>2</v>
      </c>
      <c r="H846" s="122">
        <v>2</v>
      </c>
      <c r="I846" s="123">
        <v>726.6</v>
      </c>
      <c r="J846" s="123">
        <v>665.68000000000006</v>
      </c>
      <c r="K846" s="123">
        <v>665.68</v>
      </c>
      <c r="L846" s="124">
        <v>29</v>
      </c>
      <c r="M846" s="122" t="s">
        <v>272</v>
      </c>
      <c r="N846" s="122" t="s">
        <v>273</v>
      </c>
      <c r="O846" s="125" t="s">
        <v>275</v>
      </c>
      <c r="P846" s="126">
        <v>3400436.16</v>
      </c>
      <c r="Q846" s="126">
        <v>0</v>
      </c>
      <c r="R846" s="126">
        <v>0</v>
      </c>
      <c r="S846" s="126">
        <f t="shared" si="285"/>
        <v>3400436.16</v>
      </c>
      <c r="T846" s="126">
        <f t="shared" ref="T846:T909" si="286">P846/I846</f>
        <v>4679.9286540049543</v>
      </c>
      <c r="U846" s="126">
        <v>6048.2642224057254</v>
      </c>
    </row>
    <row r="847" spans="1:21" s="67" customFormat="1" ht="61.5" x14ac:dyDescent="0.9">
      <c r="B847" s="115" t="s">
        <v>899</v>
      </c>
      <c r="C847" s="119"/>
      <c r="D847" s="122" t="s">
        <v>943</v>
      </c>
      <c r="E847" s="122" t="s">
        <v>943</v>
      </c>
      <c r="F847" s="122" t="s">
        <v>943</v>
      </c>
      <c r="G847" s="122" t="s">
        <v>943</v>
      </c>
      <c r="H847" s="122" t="s">
        <v>943</v>
      </c>
      <c r="I847" s="123">
        <f>I848+I849</f>
        <v>4053.7</v>
      </c>
      <c r="J847" s="123">
        <f t="shared" ref="J847:L847" si="287">J848+J849</f>
        <v>3133.3999999999996</v>
      </c>
      <c r="K847" s="123">
        <f t="shared" si="287"/>
        <v>3133.3999999999996</v>
      </c>
      <c r="L847" s="124">
        <f t="shared" si="287"/>
        <v>118</v>
      </c>
      <c r="M847" s="122" t="s">
        <v>943</v>
      </c>
      <c r="N847" s="122" t="s">
        <v>943</v>
      </c>
      <c r="O847" s="125" t="s">
        <v>943</v>
      </c>
      <c r="P847" s="126">
        <v>6032850.6600000001</v>
      </c>
      <c r="Q847" s="126">
        <f t="shared" ref="Q847:S847" si="288">Q848+Q849</f>
        <v>0</v>
      </c>
      <c r="R847" s="126">
        <f t="shared" si="288"/>
        <v>0</v>
      </c>
      <c r="S847" s="126">
        <f t="shared" si="288"/>
        <v>6032850.6600000001</v>
      </c>
      <c r="T847" s="126">
        <f t="shared" si="286"/>
        <v>1488.2331351604707</v>
      </c>
      <c r="U847" s="126">
        <f>MAX(U848:U849)</f>
        <v>5947.0157088122605</v>
      </c>
    </row>
    <row r="848" spans="1:21" s="67" customFormat="1" ht="61.5" x14ac:dyDescent="0.9">
      <c r="A848" s="67">
        <v>1</v>
      </c>
      <c r="B848" s="118">
        <f>SUBTOTAL(103,$A$529:A848)</f>
        <v>279</v>
      </c>
      <c r="C848" s="115" t="s">
        <v>235</v>
      </c>
      <c r="D848" s="122">
        <v>1988</v>
      </c>
      <c r="E848" s="127"/>
      <c r="F848" s="127" t="s">
        <v>274</v>
      </c>
      <c r="G848" s="122">
        <v>5</v>
      </c>
      <c r="H848" s="122">
        <v>4</v>
      </c>
      <c r="I848" s="123">
        <v>3662.2</v>
      </c>
      <c r="J848" s="123">
        <v>2766.2</v>
      </c>
      <c r="K848" s="123">
        <v>2766.2</v>
      </c>
      <c r="L848" s="124">
        <v>110</v>
      </c>
      <c r="M848" s="122" t="s">
        <v>272</v>
      </c>
      <c r="N848" s="122" t="s">
        <v>276</v>
      </c>
      <c r="O848" s="125" t="s">
        <v>751</v>
      </c>
      <c r="P848" s="126">
        <v>4231329.66</v>
      </c>
      <c r="Q848" s="126">
        <v>0</v>
      </c>
      <c r="R848" s="126">
        <v>0</v>
      </c>
      <c r="S848" s="126">
        <f t="shared" ref="S848:S849" si="289">P848-Q848-R848</f>
        <v>4231329.66</v>
      </c>
      <c r="T848" s="126">
        <f t="shared" si="286"/>
        <v>1155.4064933646443</v>
      </c>
      <c r="U848" s="126">
        <v>1581.091436841243</v>
      </c>
    </row>
    <row r="849" spans="1:21" s="67" customFormat="1" ht="61.5" x14ac:dyDescent="0.9">
      <c r="A849" s="67">
        <v>1</v>
      </c>
      <c r="B849" s="118">
        <f>SUBTOTAL(103,$A$529:A849)</f>
        <v>280</v>
      </c>
      <c r="C849" s="115" t="s">
        <v>234</v>
      </c>
      <c r="D849" s="122">
        <v>1966</v>
      </c>
      <c r="E849" s="127"/>
      <c r="F849" s="127" t="s">
        <v>274</v>
      </c>
      <c r="G849" s="122">
        <v>2</v>
      </c>
      <c r="H849" s="122">
        <v>1</v>
      </c>
      <c r="I849" s="123">
        <v>391.5</v>
      </c>
      <c r="J849" s="123">
        <v>367.2</v>
      </c>
      <c r="K849" s="123">
        <v>367.2</v>
      </c>
      <c r="L849" s="124">
        <v>8</v>
      </c>
      <c r="M849" s="122" t="s">
        <v>272</v>
      </c>
      <c r="N849" s="122" t="s">
        <v>276</v>
      </c>
      <c r="O849" s="125" t="s">
        <v>751</v>
      </c>
      <c r="P849" s="126">
        <v>1801521</v>
      </c>
      <c r="Q849" s="126">
        <v>0</v>
      </c>
      <c r="R849" s="126">
        <v>0</v>
      </c>
      <c r="S849" s="126">
        <f t="shared" si="289"/>
        <v>1801521</v>
      </c>
      <c r="T849" s="126">
        <f t="shared" si="286"/>
        <v>4601.5862068965516</v>
      </c>
      <c r="U849" s="126">
        <v>5947.0157088122605</v>
      </c>
    </row>
    <row r="850" spans="1:21" s="67" customFormat="1" ht="61.5" x14ac:dyDescent="0.9">
      <c r="B850" s="115" t="s">
        <v>901</v>
      </c>
      <c r="C850" s="119"/>
      <c r="D850" s="122" t="s">
        <v>943</v>
      </c>
      <c r="E850" s="122" t="s">
        <v>943</v>
      </c>
      <c r="F850" s="122" t="s">
        <v>943</v>
      </c>
      <c r="G850" s="122" t="s">
        <v>943</v>
      </c>
      <c r="H850" s="122" t="s">
        <v>943</v>
      </c>
      <c r="I850" s="123">
        <f>I851</f>
        <v>545.34</v>
      </c>
      <c r="J850" s="123">
        <f t="shared" ref="J850:L850" si="290">J851</f>
        <v>316.54000000000002</v>
      </c>
      <c r="K850" s="123">
        <f t="shared" si="290"/>
        <v>204.04</v>
      </c>
      <c r="L850" s="124">
        <f t="shared" si="290"/>
        <v>22</v>
      </c>
      <c r="M850" s="122" t="s">
        <v>943</v>
      </c>
      <c r="N850" s="122" t="s">
        <v>943</v>
      </c>
      <c r="O850" s="125" t="s">
        <v>943</v>
      </c>
      <c r="P850" s="126">
        <v>1799918.22</v>
      </c>
      <c r="Q850" s="126">
        <f t="shared" ref="Q850:S850" si="291">Q851</f>
        <v>0</v>
      </c>
      <c r="R850" s="126">
        <f t="shared" si="291"/>
        <v>0</v>
      </c>
      <c r="S850" s="126">
        <f t="shared" si="291"/>
        <v>1799918.22</v>
      </c>
      <c r="T850" s="126">
        <f t="shared" si="286"/>
        <v>3300.5431840686542</v>
      </c>
      <c r="U850" s="126">
        <f>MAX(U851)</f>
        <v>4386.2731235559468</v>
      </c>
    </row>
    <row r="851" spans="1:21" s="67" customFormat="1" ht="61.5" x14ac:dyDescent="0.9">
      <c r="A851" s="67">
        <v>1</v>
      </c>
      <c r="B851" s="118">
        <f>SUBTOTAL(103,$A$529:A851)</f>
        <v>281</v>
      </c>
      <c r="C851" s="115" t="s">
        <v>152</v>
      </c>
      <c r="D851" s="122">
        <v>1968</v>
      </c>
      <c r="E851" s="127"/>
      <c r="F851" s="127" t="s">
        <v>274</v>
      </c>
      <c r="G851" s="122">
        <v>2</v>
      </c>
      <c r="H851" s="122">
        <v>1</v>
      </c>
      <c r="I851" s="123">
        <v>545.34</v>
      </c>
      <c r="J851" s="123">
        <v>316.54000000000002</v>
      </c>
      <c r="K851" s="123">
        <v>204.04</v>
      </c>
      <c r="L851" s="124">
        <v>22</v>
      </c>
      <c r="M851" s="122" t="s">
        <v>272</v>
      </c>
      <c r="N851" s="122" t="s">
        <v>276</v>
      </c>
      <c r="O851" s="125" t="s">
        <v>1064</v>
      </c>
      <c r="P851" s="126">
        <v>1799918.22</v>
      </c>
      <c r="Q851" s="126">
        <v>0</v>
      </c>
      <c r="R851" s="126">
        <v>0</v>
      </c>
      <c r="S851" s="126">
        <f>P851-Q851-R851</f>
        <v>1799918.22</v>
      </c>
      <c r="T851" s="126">
        <f t="shared" si="286"/>
        <v>3300.5431840686542</v>
      </c>
      <c r="U851" s="126">
        <v>4386.2731235559468</v>
      </c>
    </row>
    <row r="852" spans="1:21" s="67" customFormat="1" ht="61.5" x14ac:dyDescent="0.9">
      <c r="B852" s="115" t="s">
        <v>929</v>
      </c>
      <c r="C852" s="115"/>
      <c r="D852" s="122" t="s">
        <v>943</v>
      </c>
      <c r="E852" s="122" t="s">
        <v>943</v>
      </c>
      <c r="F852" s="122" t="s">
        <v>943</v>
      </c>
      <c r="G852" s="122" t="s">
        <v>943</v>
      </c>
      <c r="H852" s="122" t="s">
        <v>943</v>
      </c>
      <c r="I852" s="123">
        <f>I853</f>
        <v>2138.8000000000002</v>
      </c>
      <c r="J852" s="123">
        <f t="shared" ref="J852:L852" si="292">J853</f>
        <v>959.97</v>
      </c>
      <c r="K852" s="123">
        <f t="shared" si="292"/>
        <v>458.1</v>
      </c>
      <c r="L852" s="124">
        <f t="shared" si="292"/>
        <v>56</v>
      </c>
      <c r="M852" s="122" t="s">
        <v>943</v>
      </c>
      <c r="N852" s="122" t="s">
        <v>943</v>
      </c>
      <c r="O852" s="125" t="s">
        <v>943</v>
      </c>
      <c r="P852" s="126">
        <v>3974620.0799999996</v>
      </c>
      <c r="Q852" s="126">
        <f t="shared" ref="Q852:S852" si="293">Q853</f>
        <v>0</v>
      </c>
      <c r="R852" s="126">
        <f t="shared" si="293"/>
        <v>0</v>
      </c>
      <c r="S852" s="126">
        <f t="shared" si="293"/>
        <v>3974620.0799999996</v>
      </c>
      <c r="T852" s="126">
        <f t="shared" si="286"/>
        <v>1858.3411632691225</v>
      </c>
      <c r="U852" s="126">
        <f>MAX(U853)</f>
        <v>2082.5146795489391</v>
      </c>
    </row>
    <row r="853" spans="1:21" s="67" customFormat="1" ht="61.5" x14ac:dyDescent="0.9">
      <c r="A853" s="67">
        <v>1</v>
      </c>
      <c r="B853" s="118">
        <f>SUBTOTAL(103,$A$529:A853)</f>
        <v>282</v>
      </c>
      <c r="C853" s="115" t="s">
        <v>153</v>
      </c>
      <c r="D853" s="122">
        <v>1983</v>
      </c>
      <c r="E853" s="127"/>
      <c r="F853" s="127" t="s">
        <v>274</v>
      </c>
      <c r="G853" s="122">
        <v>2</v>
      </c>
      <c r="H853" s="122">
        <v>3</v>
      </c>
      <c r="I853" s="123">
        <v>2138.8000000000002</v>
      </c>
      <c r="J853" s="123">
        <v>959.97</v>
      </c>
      <c r="K853" s="123">
        <v>458.1</v>
      </c>
      <c r="L853" s="124">
        <v>56</v>
      </c>
      <c r="M853" s="122" t="s">
        <v>272</v>
      </c>
      <c r="N853" s="122" t="s">
        <v>276</v>
      </c>
      <c r="O853" s="125" t="s">
        <v>296</v>
      </c>
      <c r="P853" s="126">
        <v>3974620.0799999996</v>
      </c>
      <c r="Q853" s="126">
        <v>0</v>
      </c>
      <c r="R853" s="126">
        <v>0</v>
      </c>
      <c r="S853" s="126">
        <f>P853-Q853-R853</f>
        <v>3974620.0799999996</v>
      </c>
      <c r="T853" s="126">
        <f t="shared" si="286"/>
        <v>1858.3411632691225</v>
      </c>
      <c r="U853" s="126">
        <v>2082.5146795489391</v>
      </c>
    </row>
    <row r="854" spans="1:21" s="67" customFormat="1" ht="61.5" x14ac:dyDescent="0.9">
      <c r="B854" s="115" t="s">
        <v>930</v>
      </c>
      <c r="C854" s="115"/>
      <c r="D854" s="122" t="s">
        <v>943</v>
      </c>
      <c r="E854" s="122" t="s">
        <v>943</v>
      </c>
      <c r="F854" s="122" t="s">
        <v>943</v>
      </c>
      <c r="G854" s="122" t="s">
        <v>943</v>
      </c>
      <c r="H854" s="122" t="s">
        <v>943</v>
      </c>
      <c r="I854" s="123">
        <f>I855</f>
        <v>1367.9</v>
      </c>
      <c r="J854" s="123">
        <f t="shared" ref="J854:L854" si="294">J855</f>
        <v>926.7</v>
      </c>
      <c r="K854" s="123">
        <f t="shared" si="294"/>
        <v>324.89999999999998</v>
      </c>
      <c r="L854" s="124">
        <f t="shared" si="294"/>
        <v>64</v>
      </c>
      <c r="M854" s="122" t="s">
        <v>943</v>
      </c>
      <c r="N854" s="122" t="s">
        <v>943</v>
      </c>
      <c r="O854" s="125" t="s">
        <v>943</v>
      </c>
      <c r="P854" s="126">
        <v>2957808</v>
      </c>
      <c r="Q854" s="126">
        <f t="shared" ref="Q854:S854" si="295">Q855</f>
        <v>0</v>
      </c>
      <c r="R854" s="126">
        <f t="shared" si="295"/>
        <v>0</v>
      </c>
      <c r="S854" s="126">
        <f t="shared" si="295"/>
        <v>2957808</v>
      </c>
      <c r="T854" s="126">
        <f t="shared" si="286"/>
        <v>2162.2984136267269</v>
      </c>
      <c r="U854" s="126">
        <f>MAX(U855)</f>
        <v>2960.115505519409</v>
      </c>
    </row>
    <row r="855" spans="1:21" s="67" customFormat="1" ht="61.5" x14ac:dyDescent="0.9">
      <c r="A855" s="67">
        <v>1</v>
      </c>
      <c r="B855" s="118">
        <f>SUBTOTAL(103,$A$529:A855)</f>
        <v>283</v>
      </c>
      <c r="C855" s="115" t="s">
        <v>158</v>
      </c>
      <c r="D855" s="122">
        <v>1974</v>
      </c>
      <c r="E855" s="127"/>
      <c r="F855" s="127" t="s">
        <v>274</v>
      </c>
      <c r="G855" s="122">
        <v>2</v>
      </c>
      <c r="H855" s="122">
        <v>1</v>
      </c>
      <c r="I855" s="123">
        <v>1367.9</v>
      </c>
      <c r="J855" s="123">
        <v>926.7</v>
      </c>
      <c r="K855" s="123">
        <v>324.89999999999998</v>
      </c>
      <c r="L855" s="124">
        <v>64</v>
      </c>
      <c r="M855" s="122" t="s">
        <v>272</v>
      </c>
      <c r="N855" s="122" t="s">
        <v>276</v>
      </c>
      <c r="O855" s="125" t="s">
        <v>1064</v>
      </c>
      <c r="P855" s="126">
        <v>2957808</v>
      </c>
      <c r="Q855" s="126">
        <v>0</v>
      </c>
      <c r="R855" s="126">
        <v>0</v>
      </c>
      <c r="S855" s="126">
        <f>P855-Q855-R855</f>
        <v>2957808</v>
      </c>
      <c r="T855" s="126">
        <f t="shared" si="286"/>
        <v>2162.2984136267269</v>
      </c>
      <c r="U855" s="126">
        <v>2960.115505519409</v>
      </c>
    </row>
    <row r="856" spans="1:21" s="67" customFormat="1" ht="61.5" x14ac:dyDescent="0.9">
      <c r="B856" s="115" t="s">
        <v>903</v>
      </c>
      <c r="C856" s="115"/>
      <c r="D856" s="122" t="s">
        <v>943</v>
      </c>
      <c r="E856" s="122" t="s">
        <v>943</v>
      </c>
      <c r="F856" s="122" t="s">
        <v>943</v>
      </c>
      <c r="G856" s="122" t="s">
        <v>943</v>
      </c>
      <c r="H856" s="122" t="s">
        <v>943</v>
      </c>
      <c r="I856" s="123">
        <f>I857</f>
        <v>2208.39</v>
      </c>
      <c r="J856" s="123">
        <f t="shared" ref="J856:L856" si="296">J857</f>
        <v>2056</v>
      </c>
      <c r="K856" s="123">
        <f t="shared" si="296"/>
        <v>446.69</v>
      </c>
      <c r="L856" s="124">
        <f t="shared" si="296"/>
        <v>74</v>
      </c>
      <c r="M856" s="122" t="s">
        <v>943</v>
      </c>
      <c r="N856" s="122" t="s">
        <v>943</v>
      </c>
      <c r="O856" s="125" t="s">
        <v>943</v>
      </c>
      <c r="P856" s="126">
        <v>4651054.3499999996</v>
      </c>
      <c r="Q856" s="126">
        <f t="shared" ref="Q856:S856" si="297">Q857</f>
        <v>0</v>
      </c>
      <c r="R856" s="126">
        <f t="shared" si="297"/>
        <v>0</v>
      </c>
      <c r="S856" s="126">
        <f t="shared" si="297"/>
        <v>4651054.3499999996</v>
      </c>
      <c r="T856" s="126">
        <f t="shared" si="286"/>
        <v>2106.0837759634846</v>
      </c>
      <c r="U856" s="126">
        <f>MAX(U857)</f>
        <v>2398.864081978274</v>
      </c>
    </row>
    <row r="857" spans="1:21" s="67" customFormat="1" ht="61.5" x14ac:dyDescent="0.9">
      <c r="A857" s="67">
        <v>1</v>
      </c>
      <c r="B857" s="118">
        <f>SUBTOTAL(103,$A$529:A857)</f>
        <v>284</v>
      </c>
      <c r="C857" s="115" t="s">
        <v>157</v>
      </c>
      <c r="D857" s="122">
        <v>1970</v>
      </c>
      <c r="E857" s="127"/>
      <c r="F857" s="127" t="s">
        <v>274</v>
      </c>
      <c r="G857" s="122">
        <v>5</v>
      </c>
      <c r="H857" s="122">
        <v>4</v>
      </c>
      <c r="I857" s="123">
        <v>2208.39</v>
      </c>
      <c r="J857" s="123">
        <v>2056</v>
      </c>
      <c r="K857" s="123">
        <v>446.69</v>
      </c>
      <c r="L857" s="124">
        <v>74</v>
      </c>
      <c r="M857" s="122" t="s">
        <v>272</v>
      </c>
      <c r="N857" s="122" t="s">
        <v>276</v>
      </c>
      <c r="O857" s="125" t="s">
        <v>297</v>
      </c>
      <c r="P857" s="126">
        <v>4651054.3499999996</v>
      </c>
      <c r="Q857" s="126">
        <v>0</v>
      </c>
      <c r="R857" s="126">
        <v>0</v>
      </c>
      <c r="S857" s="126">
        <f>P857-Q857-R857</f>
        <v>4651054.3499999996</v>
      </c>
      <c r="T857" s="126">
        <f t="shared" si="286"/>
        <v>2106.0837759634846</v>
      </c>
      <c r="U857" s="126">
        <v>2398.864081978274</v>
      </c>
    </row>
    <row r="858" spans="1:21" s="67" customFormat="1" ht="61.5" x14ac:dyDescent="0.9">
      <c r="B858" s="115" t="s">
        <v>904</v>
      </c>
      <c r="C858" s="115"/>
      <c r="D858" s="122" t="s">
        <v>943</v>
      </c>
      <c r="E858" s="122" t="s">
        <v>943</v>
      </c>
      <c r="F858" s="122" t="s">
        <v>943</v>
      </c>
      <c r="G858" s="122" t="s">
        <v>943</v>
      </c>
      <c r="H858" s="122" t="s">
        <v>943</v>
      </c>
      <c r="I858" s="123">
        <f>SUM(I859:I861)</f>
        <v>11211.2</v>
      </c>
      <c r="J858" s="123">
        <f t="shared" ref="J858:L858" si="298">SUM(J859:J861)</f>
        <v>4427.5</v>
      </c>
      <c r="K858" s="123">
        <f t="shared" si="298"/>
        <v>24339.55</v>
      </c>
      <c r="L858" s="124">
        <f t="shared" si="298"/>
        <v>304</v>
      </c>
      <c r="M858" s="122" t="s">
        <v>943</v>
      </c>
      <c r="N858" s="122" t="s">
        <v>943</v>
      </c>
      <c r="O858" s="125" t="s">
        <v>943</v>
      </c>
      <c r="P858" s="126">
        <v>15298671.6</v>
      </c>
      <c r="Q858" s="126">
        <f t="shared" ref="Q858:S858" si="299">Q859+Q860+Q861</f>
        <v>0</v>
      </c>
      <c r="R858" s="126">
        <f t="shared" si="299"/>
        <v>0</v>
      </c>
      <c r="S858" s="126">
        <f t="shared" si="299"/>
        <v>15298671.6</v>
      </c>
      <c r="T858" s="126">
        <f t="shared" si="286"/>
        <v>1364.588233195376</v>
      </c>
      <c r="U858" s="126">
        <f>MAX(U859:U861)</f>
        <v>2707.9929739173881</v>
      </c>
    </row>
    <row r="859" spans="1:21" s="67" customFormat="1" ht="61.5" x14ac:dyDescent="0.9">
      <c r="A859" s="67">
        <v>1</v>
      </c>
      <c r="B859" s="118">
        <f>SUBTOTAL(103,$A$529:A859)</f>
        <v>285</v>
      </c>
      <c r="C859" s="115" t="s">
        <v>154</v>
      </c>
      <c r="D859" s="122">
        <v>1983</v>
      </c>
      <c r="E859" s="127"/>
      <c r="F859" s="127" t="s">
        <v>295</v>
      </c>
      <c r="G859" s="122">
        <v>5</v>
      </c>
      <c r="H859" s="122">
        <v>4</v>
      </c>
      <c r="I859" s="123">
        <v>4333.8</v>
      </c>
      <c r="J859" s="123">
        <v>1755.3</v>
      </c>
      <c r="K859" s="123">
        <v>1755.3</v>
      </c>
      <c r="L859" s="124">
        <v>123</v>
      </c>
      <c r="M859" s="122" t="s">
        <v>272</v>
      </c>
      <c r="N859" s="122" t="s">
        <v>276</v>
      </c>
      <c r="O859" s="125" t="s">
        <v>301</v>
      </c>
      <c r="P859" s="126">
        <v>5244797.5</v>
      </c>
      <c r="Q859" s="126">
        <v>0</v>
      </c>
      <c r="R859" s="126">
        <v>0</v>
      </c>
      <c r="S859" s="126">
        <f t="shared" ref="S859:S861" si="300">P859-Q859-R859</f>
        <v>5244797.5</v>
      </c>
      <c r="T859" s="126">
        <f t="shared" si="286"/>
        <v>1210.2075545710461</v>
      </c>
      <c r="U859" s="126">
        <v>1323.6154183395633</v>
      </c>
    </row>
    <row r="860" spans="1:21" s="67" customFormat="1" ht="61.5" x14ac:dyDescent="0.9">
      <c r="A860" s="67">
        <v>1</v>
      </c>
      <c r="B860" s="118">
        <f>SUBTOTAL(103,$A$529:A860)</f>
        <v>286</v>
      </c>
      <c r="C860" s="115" t="s">
        <v>155</v>
      </c>
      <c r="D860" s="122">
        <v>1985</v>
      </c>
      <c r="E860" s="127"/>
      <c r="F860" s="127" t="s">
        <v>295</v>
      </c>
      <c r="G860" s="122">
        <v>5</v>
      </c>
      <c r="H860" s="122">
        <v>5</v>
      </c>
      <c r="I860" s="123">
        <v>5376.4</v>
      </c>
      <c r="J860" s="123">
        <v>2229.5</v>
      </c>
      <c r="K860" s="123">
        <v>22225.4</v>
      </c>
      <c r="L860" s="124">
        <v>149</v>
      </c>
      <c r="M860" s="122" t="s">
        <v>272</v>
      </c>
      <c r="N860" s="122" t="s">
        <v>276</v>
      </c>
      <c r="O860" s="125" t="s">
        <v>301</v>
      </c>
      <c r="P860" s="126">
        <v>6908757.5199999996</v>
      </c>
      <c r="Q860" s="126">
        <v>0</v>
      </c>
      <c r="R860" s="126">
        <v>0</v>
      </c>
      <c r="S860" s="126">
        <f t="shared" si="300"/>
        <v>6908757.5199999996</v>
      </c>
      <c r="T860" s="126">
        <f t="shared" si="286"/>
        <v>1285.0155345584405</v>
      </c>
      <c r="U860" s="126">
        <v>1405.43325866751</v>
      </c>
    </row>
    <row r="861" spans="1:21" s="67" customFormat="1" ht="61.5" x14ac:dyDescent="0.9">
      <c r="A861" s="67">
        <v>1</v>
      </c>
      <c r="B861" s="118">
        <f>SUBTOTAL(103,$A$529:A861)</f>
        <v>287</v>
      </c>
      <c r="C861" s="115" t="s">
        <v>156</v>
      </c>
      <c r="D861" s="122">
        <v>1978</v>
      </c>
      <c r="E861" s="127"/>
      <c r="F861" s="127" t="s">
        <v>274</v>
      </c>
      <c r="G861" s="122">
        <v>2</v>
      </c>
      <c r="H861" s="122">
        <v>2</v>
      </c>
      <c r="I861" s="123">
        <v>1501</v>
      </c>
      <c r="J861" s="123">
        <v>442.7</v>
      </c>
      <c r="K861" s="123">
        <v>358.85</v>
      </c>
      <c r="L861" s="124">
        <v>32</v>
      </c>
      <c r="M861" s="122" t="s">
        <v>272</v>
      </c>
      <c r="N861" s="122" t="s">
        <v>276</v>
      </c>
      <c r="O861" s="125" t="s">
        <v>302</v>
      </c>
      <c r="P861" s="126">
        <v>3145116.58</v>
      </c>
      <c r="Q861" s="126">
        <v>0</v>
      </c>
      <c r="R861" s="126">
        <v>0</v>
      </c>
      <c r="S861" s="126">
        <f t="shared" si="300"/>
        <v>3145116.58</v>
      </c>
      <c r="T861" s="126">
        <f t="shared" si="286"/>
        <v>2095.3474883411059</v>
      </c>
      <c r="U861" s="126">
        <v>2707.9929739173881</v>
      </c>
    </row>
    <row r="862" spans="1:21" s="67" customFormat="1" ht="61.5" x14ac:dyDescent="0.9">
      <c r="B862" s="115" t="s">
        <v>905</v>
      </c>
      <c r="C862" s="115"/>
      <c r="D862" s="122" t="s">
        <v>943</v>
      </c>
      <c r="E862" s="122" t="s">
        <v>943</v>
      </c>
      <c r="F862" s="122" t="s">
        <v>943</v>
      </c>
      <c r="G862" s="122" t="s">
        <v>943</v>
      </c>
      <c r="H862" s="122" t="s">
        <v>943</v>
      </c>
      <c r="I862" s="123">
        <f>SUM(I863:I865)</f>
        <v>13890.4</v>
      </c>
      <c r="J862" s="123">
        <f t="shared" ref="J862:L862" si="301">SUM(J863:J865)</f>
        <v>9782.61</v>
      </c>
      <c r="K862" s="123">
        <f t="shared" si="301"/>
        <v>9631.75</v>
      </c>
      <c r="L862" s="124">
        <f t="shared" si="301"/>
        <v>506</v>
      </c>
      <c r="M862" s="122" t="s">
        <v>943</v>
      </c>
      <c r="N862" s="122" t="s">
        <v>943</v>
      </c>
      <c r="O862" s="125" t="s">
        <v>943</v>
      </c>
      <c r="P862" s="126">
        <v>13767321.040000001</v>
      </c>
      <c r="Q862" s="126">
        <f t="shared" ref="Q862:S862" si="302">Q863+Q864+Q865</f>
        <v>0</v>
      </c>
      <c r="R862" s="126">
        <f t="shared" si="302"/>
        <v>0</v>
      </c>
      <c r="S862" s="126">
        <f t="shared" si="302"/>
        <v>13767321.040000001</v>
      </c>
      <c r="T862" s="126">
        <f t="shared" si="286"/>
        <v>991.1392789264529</v>
      </c>
      <c r="U862" s="126">
        <f>MAX(U863:U865)</f>
        <v>1906.0199497577605</v>
      </c>
    </row>
    <row r="863" spans="1:21" s="67" customFormat="1" ht="61.5" x14ac:dyDescent="0.9">
      <c r="A863" s="67">
        <v>1</v>
      </c>
      <c r="B863" s="118">
        <f>SUBTOTAL(103,$A$529:A863)</f>
        <v>288</v>
      </c>
      <c r="C863" s="115" t="s">
        <v>149</v>
      </c>
      <c r="D863" s="122">
        <v>1989</v>
      </c>
      <c r="E863" s="127"/>
      <c r="F863" s="127" t="s">
        <v>295</v>
      </c>
      <c r="G863" s="122">
        <v>5</v>
      </c>
      <c r="H863" s="122">
        <v>5</v>
      </c>
      <c r="I863" s="123">
        <v>3901.1</v>
      </c>
      <c r="J863" s="123">
        <v>2252.5</v>
      </c>
      <c r="K863" s="123">
        <v>2252.1999999999998</v>
      </c>
      <c r="L863" s="124">
        <v>188</v>
      </c>
      <c r="M863" s="122" t="s">
        <v>272</v>
      </c>
      <c r="N863" s="122" t="s">
        <v>299</v>
      </c>
      <c r="O863" s="125" t="s">
        <v>303</v>
      </c>
      <c r="P863" s="126">
        <v>6391288.3800000008</v>
      </c>
      <c r="Q863" s="126">
        <v>0</v>
      </c>
      <c r="R863" s="126">
        <v>0</v>
      </c>
      <c r="S863" s="126">
        <f t="shared" ref="S863:S865" si="303">P863-Q863-R863</f>
        <v>6391288.3800000008</v>
      </c>
      <c r="T863" s="126">
        <f t="shared" si="286"/>
        <v>1638.3297992873806</v>
      </c>
      <c r="U863" s="126">
        <v>1906.0199497577605</v>
      </c>
    </row>
    <row r="864" spans="1:21" s="67" customFormat="1" ht="61.5" x14ac:dyDescent="0.9">
      <c r="A864" s="67">
        <v>1</v>
      </c>
      <c r="B864" s="118">
        <f>SUBTOTAL(103,$A$529:A864)</f>
        <v>289</v>
      </c>
      <c r="C864" s="115" t="s">
        <v>161</v>
      </c>
      <c r="D864" s="122">
        <v>1975</v>
      </c>
      <c r="E864" s="127"/>
      <c r="F864" s="127" t="s">
        <v>295</v>
      </c>
      <c r="G864" s="122">
        <v>5</v>
      </c>
      <c r="H864" s="122">
        <v>8</v>
      </c>
      <c r="I864" s="123">
        <v>8270.9699999999993</v>
      </c>
      <c r="J864" s="123">
        <v>6155.11</v>
      </c>
      <c r="K864" s="123">
        <v>6155.11</v>
      </c>
      <c r="L864" s="124">
        <v>233</v>
      </c>
      <c r="M864" s="122" t="s">
        <v>272</v>
      </c>
      <c r="N864" s="122" t="s">
        <v>276</v>
      </c>
      <c r="O864" s="125" t="s">
        <v>302</v>
      </c>
      <c r="P864" s="126">
        <v>6834775.6500000004</v>
      </c>
      <c r="Q864" s="126">
        <v>0</v>
      </c>
      <c r="R864" s="126">
        <v>0</v>
      </c>
      <c r="S864" s="126">
        <f t="shared" si="303"/>
        <v>6834775.6500000004</v>
      </c>
      <c r="T864" s="126">
        <f t="shared" si="286"/>
        <v>826.35720477767427</v>
      </c>
      <c r="U864" s="126">
        <v>1258.0486514278252</v>
      </c>
    </row>
    <row r="865" spans="1:21" s="67" customFormat="1" ht="61.5" x14ac:dyDescent="0.9">
      <c r="A865" s="67">
        <v>1</v>
      </c>
      <c r="B865" s="118">
        <f>SUBTOTAL(103,$A$529:A865)</f>
        <v>290</v>
      </c>
      <c r="C865" s="115" t="s">
        <v>151</v>
      </c>
      <c r="D865" s="122">
        <v>1928</v>
      </c>
      <c r="E865" s="127"/>
      <c r="F865" s="127" t="s">
        <v>274</v>
      </c>
      <c r="G865" s="122">
        <v>3</v>
      </c>
      <c r="H865" s="122">
        <v>4</v>
      </c>
      <c r="I865" s="123">
        <v>1718.33</v>
      </c>
      <c r="J865" s="123">
        <v>1375</v>
      </c>
      <c r="K865" s="123">
        <v>1224.44</v>
      </c>
      <c r="L865" s="124">
        <v>85</v>
      </c>
      <c r="M865" s="122" t="s">
        <v>272</v>
      </c>
      <c r="N865" s="122" t="s">
        <v>276</v>
      </c>
      <c r="O865" s="125" t="s">
        <v>304</v>
      </c>
      <c r="P865" s="126">
        <v>541257.01</v>
      </c>
      <c r="Q865" s="126">
        <v>0</v>
      </c>
      <c r="R865" s="126">
        <v>0</v>
      </c>
      <c r="S865" s="126">
        <f t="shared" si="303"/>
        <v>541257.01</v>
      </c>
      <c r="T865" s="126">
        <f t="shared" si="286"/>
        <v>314.99014159096333</v>
      </c>
      <c r="U865" s="126">
        <v>314.99014159096333</v>
      </c>
    </row>
    <row r="866" spans="1:21" s="67" customFormat="1" ht="61.5" x14ac:dyDescent="0.9">
      <c r="B866" s="115" t="s">
        <v>906</v>
      </c>
      <c r="C866" s="119"/>
      <c r="D866" s="122" t="s">
        <v>943</v>
      </c>
      <c r="E866" s="122" t="s">
        <v>943</v>
      </c>
      <c r="F866" s="122" t="s">
        <v>943</v>
      </c>
      <c r="G866" s="122" t="s">
        <v>943</v>
      </c>
      <c r="H866" s="122" t="s">
        <v>943</v>
      </c>
      <c r="I866" s="123">
        <f>SUM(I867:I868)</f>
        <v>4401.9799999999996</v>
      </c>
      <c r="J866" s="123">
        <f t="shared" ref="J866:L866" si="304">SUM(J867:J868)</f>
        <v>3794.38</v>
      </c>
      <c r="K866" s="123">
        <f t="shared" si="304"/>
        <v>3480</v>
      </c>
      <c r="L866" s="124">
        <f t="shared" si="304"/>
        <v>148</v>
      </c>
      <c r="M866" s="122" t="s">
        <v>943</v>
      </c>
      <c r="N866" s="122" t="s">
        <v>943</v>
      </c>
      <c r="O866" s="125" t="s">
        <v>943</v>
      </c>
      <c r="P866" s="126">
        <v>9023270.3999999985</v>
      </c>
      <c r="Q866" s="126">
        <f t="shared" ref="Q866:S866" si="305">Q867+Q868</f>
        <v>0</v>
      </c>
      <c r="R866" s="126">
        <f t="shared" si="305"/>
        <v>0</v>
      </c>
      <c r="S866" s="126">
        <f t="shared" si="305"/>
        <v>9023270.3999999985</v>
      </c>
      <c r="T866" s="126">
        <f t="shared" si="286"/>
        <v>2049.820853343268</v>
      </c>
      <c r="U866" s="126">
        <f>MAX(U867:U868)</f>
        <v>5264.8418439716306</v>
      </c>
    </row>
    <row r="867" spans="1:21" s="67" customFormat="1" ht="61.5" x14ac:dyDescent="0.9">
      <c r="A867" s="67">
        <v>1</v>
      </c>
      <c r="B867" s="118">
        <f>SUBTOTAL(103,$A$529:A867)</f>
        <v>291</v>
      </c>
      <c r="C867" s="115" t="s">
        <v>98</v>
      </c>
      <c r="D867" s="122">
        <v>1967</v>
      </c>
      <c r="E867" s="127"/>
      <c r="F867" s="127" t="s">
        <v>274</v>
      </c>
      <c r="G867" s="122">
        <v>2</v>
      </c>
      <c r="H867" s="122">
        <v>2</v>
      </c>
      <c r="I867" s="123">
        <v>987</v>
      </c>
      <c r="J867" s="123">
        <v>915.8</v>
      </c>
      <c r="K867" s="123">
        <v>915.8</v>
      </c>
      <c r="L867" s="124">
        <v>33</v>
      </c>
      <c r="M867" s="122" t="s">
        <v>272</v>
      </c>
      <c r="N867" s="122" t="s">
        <v>276</v>
      </c>
      <c r="O867" s="125" t="s">
        <v>290</v>
      </c>
      <c r="P867" s="126">
        <v>4020786</v>
      </c>
      <c r="Q867" s="126">
        <v>0</v>
      </c>
      <c r="R867" s="126">
        <v>0</v>
      </c>
      <c r="S867" s="126">
        <f t="shared" ref="S867:S868" si="306">P867-Q867-R867</f>
        <v>4020786</v>
      </c>
      <c r="T867" s="126">
        <f t="shared" si="286"/>
        <v>4073.744680851064</v>
      </c>
      <c r="U867" s="126">
        <v>5264.8418439716306</v>
      </c>
    </row>
    <row r="868" spans="1:21" s="67" customFormat="1" ht="61.5" x14ac:dyDescent="0.9">
      <c r="A868" s="67">
        <v>1</v>
      </c>
      <c r="B868" s="118">
        <f>SUBTOTAL(103,$A$529:A868)</f>
        <v>292</v>
      </c>
      <c r="C868" s="115" t="s">
        <v>97</v>
      </c>
      <c r="D868" s="122">
        <v>1971</v>
      </c>
      <c r="E868" s="127"/>
      <c r="F868" s="127" t="s">
        <v>274</v>
      </c>
      <c r="G868" s="122">
        <v>5</v>
      </c>
      <c r="H868" s="122">
        <v>4</v>
      </c>
      <c r="I868" s="123">
        <v>3414.98</v>
      </c>
      <c r="J868" s="123">
        <v>2878.58</v>
      </c>
      <c r="K868" s="123">
        <v>2564.1999999999998</v>
      </c>
      <c r="L868" s="124">
        <v>115</v>
      </c>
      <c r="M868" s="122" t="s">
        <v>272</v>
      </c>
      <c r="N868" s="122" t="s">
        <v>276</v>
      </c>
      <c r="O868" s="125" t="s">
        <v>288</v>
      </c>
      <c r="P868" s="126">
        <v>5002484.3999999994</v>
      </c>
      <c r="Q868" s="126">
        <v>0</v>
      </c>
      <c r="R868" s="126">
        <v>0</v>
      </c>
      <c r="S868" s="126">
        <f t="shared" si="306"/>
        <v>5002484.3999999994</v>
      </c>
      <c r="T868" s="126">
        <f t="shared" si="286"/>
        <v>1464.8649186818077</v>
      </c>
      <c r="U868" s="126">
        <v>1893.1677667219133</v>
      </c>
    </row>
    <row r="869" spans="1:21" s="67" customFormat="1" ht="61.5" x14ac:dyDescent="0.9">
      <c r="B869" s="115" t="s">
        <v>907</v>
      </c>
      <c r="C869" s="115"/>
      <c r="D869" s="122" t="s">
        <v>943</v>
      </c>
      <c r="E869" s="122" t="s">
        <v>943</v>
      </c>
      <c r="F869" s="122" t="s">
        <v>943</v>
      </c>
      <c r="G869" s="122" t="s">
        <v>943</v>
      </c>
      <c r="H869" s="122" t="s">
        <v>943</v>
      </c>
      <c r="I869" s="123">
        <f>I870</f>
        <v>708.1</v>
      </c>
      <c r="J869" s="123">
        <f t="shared" ref="J869:L869" si="307">J870</f>
        <v>650.9</v>
      </c>
      <c r="K869" s="123">
        <f t="shared" si="307"/>
        <v>650.9</v>
      </c>
      <c r="L869" s="124">
        <f t="shared" si="307"/>
        <v>43</v>
      </c>
      <c r="M869" s="122" t="s">
        <v>943</v>
      </c>
      <c r="N869" s="122" t="s">
        <v>943</v>
      </c>
      <c r="O869" s="125" t="s">
        <v>943</v>
      </c>
      <c r="P869" s="126">
        <v>3080862</v>
      </c>
      <c r="Q869" s="126">
        <f t="shared" ref="Q869:S869" si="308">Q870</f>
        <v>0</v>
      </c>
      <c r="R869" s="126">
        <f t="shared" si="308"/>
        <v>0</v>
      </c>
      <c r="S869" s="126">
        <f t="shared" si="308"/>
        <v>3080862</v>
      </c>
      <c r="T869" s="126">
        <f t="shared" si="286"/>
        <v>4350.8854681542152</v>
      </c>
      <c r="U869" s="126">
        <f>MAX(U870)</f>
        <v>5623.0141222991097</v>
      </c>
    </row>
    <row r="870" spans="1:21" s="67" customFormat="1" ht="61.5" x14ac:dyDescent="0.9">
      <c r="A870" s="67">
        <v>1</v>
      </c>
      <c r="B870" s="118">
        <f>SUBTOTAL(103,$A$529:A870)</f>
        <v>293</v>
      </c>
      <c r="C870" s="115" t="s">
        <v>99</v>
      </c>
      <c r="D870" s="122">
        <v>1969</v>
      </c>
      <c r="E870" s="127"/>
      <c r="F870" s="127" t="s">
        <v>274</v>
      </c>
      <c r="G870" s="122">
        <v>2</v>
      </c>
      <c r="H870" s="122">
        <v>2</v>
      </c>
      <c r="I870" s="123">
        <v>708.1</v>
      </c>
      <c r="J870" s="123">
        <v>650.9</v>
      </c>
      <c r="K870" s="123">
        <v>650.9</v>
      </c>
      <c r="L870" s="124">
        <v>43</v>
      </c>
      <c r="M870" s="122" t="s">
        <v>272</v>
      </c>
      <c r="N870" s="122" t="s">
        <v>276</v>
      </c>
      <c r="O870" s="125" t="s">
        <v>1065</v>
      </c>
      <c r="P870" s="126">
        <v>3080862</v>
      </c>
      <c r="Q870" s="126">
        <v>0</v>
      </c>
      <c r="R870" s="126">
        <v>0</v>
      </c>
      <c r="S870" s="126">
        <f>P870-Q870-R870</f>
        <v>3080862</v>
      </c>
      <c r="T870" s="126">
        <f t="shared" si="286"/>
        <v>4350.8854681542152</v>
      </c>
      <c r="U870" s="126">
        <v>5623.0141222991097</v>
      </c>
    </row>
    <row r="871" spans="1:21" s="67" customFormat="1" ht="61.5" x14ac:dyDescent="0.9">
      <c r="B871" s="115" t="s">
        <v>931</v>
      </c>
      <c r="C871" s="115"/>
      <c r="D871" s="122" t="s">
        <v>943</v>
      </c>
      <c r="E871" s="122" t="s">
        <v>943</v>
      </c>
      <c r="F871" s="122" t="s">
        <v>943</v>
      </c>
      <c r="G871" s="122" t="s">
        <v>943</v>
      </c>
      <c r="H871" s="122" t="s">
        <v>943</v>
      </c>
      <c r="I871" s="123">
        <f>I872</f>
        <v>788.3</v>
      </c>
      <c r="J871" s="123">
        <f t="shared" ref="J871:L871" si="309">J872</f>
        <v>726.9</v>
      </c>
      <c r="K871" s="123">
        <f t="shared" si="309"/>
        <v>726.9</v>
      </c>
      <c r="L871" s="124">
        <f t="shared" si="309"/>
        <v>20</v>
      </c>
      <c r="M871" s="122" t="s">
        <v>943</v>
      </c>
      <c r="N871" s="122" t="s">
        <v>943</v>
      </c>
      <c r="O871" s="125" t="s">
        <v>943</v>
      </c>
      <c r="P871" s="126">
        <v>3655260</v>
      </c>
      <c r="Q871" s="126">
        <f t="shared" ref="Q871:S871" si="310">Q872</f>
        <v>0</v>
      </c>
      <c r="R871" s="126">
        <f t="shared" si="310"/>
        <v>0</v>
      </c>
      <c r="S871" s="126">
        <f t="shared" si="310"/>
        <v>3655260</v>
      </c>
      <c r="T871" s="126">
        <f t="shared" si="286"/>
        <v>4636.8895090701508</v>
      </c>
      <c r="U871" s="126">
        <f>MAX(U872)</f>
        <v>5992.641126474693</v>
      </c>
    </row>
    <row r="872" spans="1:21" s="67" customFormat="1" ht="61.5" x14ac:dyDescent="0.9">
      <c r="A872" s="67">
        <v>1</v>
      </c>
      <c r="B872" s="118">
        <f>SUBTOTAL(103,$A$529:A872)</f>
        <v>294</v>
      </c>
      <c r="C872" s="115" t="s">
        <v>100</v>
      </c>
      <c r="D872" s="122">
        <v>1972</v>
      </c>
      <c r="E872" s="127"/>
      <c r="F872" s="127" t="s">
        <v>274</v>
      </c>
      <c r="G872" s="122">
        <v>2</v>
      </c>
      <c r="H872" s="122">
        <v>2</v>
      </c>
      <c r="I872" s="123">
        <v>788.3</v>
      </c>
      <c r="J872" s="123">
        <v>726.9</v>
      </c>
      <c r="K872" s="123">
        <v>726.9</v>
      </c>
      <c r="L872" s="124">
        <v>20</v>
      </c>
      <c r="M872" s="122" t="s">
        <v>272</v>
      </c>
      <c r="N872" s="122" t="s">
        <v>291</v>
      </c>
      <c r="O872" s="125" t="s">
        <v>275</v>
      </c>
      <c r="P872" s="126">
        <v>3655260</v>
      </c>
      <c r="Q872" s="126">
        <v>0</v>
      </c>
      <c r="R872" s="126">
        <v>0</v>
      </c>
      <c r="S872" s="126">
        <f>P872-Q872-R872</f>
        <v>3655260</v>
      </c>
      <c r="T872" s="126">
        <f t="shared" si="286"/>
        <v>4636.8895090701508</v>
      </c>
      <c r="U872" s="126">
        <v>5992.641126474693</v>
      </c>
    </row>
    <row r="873" spans="1:21" s="67" customFormat="1" ht="61.5" x14ac:dyDescent="0.9">
      <c r="B873" s="115" t="s">
        <v>909</v>
      </c>
      <c r="C873" s="115"/>
      <c r="D873" s="122" t="s">
        <v>943</v>
      </c>
      <c r="E873" s="122" t="s">
        <v>943</v>
      </c>
      <c r="F873" s="122" t="s">
        <v>943</v>
      </c>
      <c r="G873" s="122" t="s">
        <v>943</v>
      </c>
      <c r="H873" s="122" t="s">
        <v>943</v>
      </c>
      <c r="I873" s="123">
        <f>I874</f>
        <v>707.1</v>
      </c>
      <c r="J873" s="123">
        <f t="shared" ref="J873:L873" si="311">J874</f>
        <v>649.5</v>
      </c>
      <c r="K873" s="123">
        <f t="shared" si="311"/>
        <v>649.5</v>
      </c>
      <c r="L873" s="124">
        <f t="shared" si="311"/>
        <v>32</v>
      </c>
      <c r="M873" s="122" t="s">
        <v>943</v>
      </c>
      <c r="N873" s="122" t="s">
        <v>943</v>
      </c>
      <c r="O873" s="125" t="s">
        <v>943</v>
      </c>
      <c r="P873" s="126">
        <v>3080862</v>
      </c>
      <c r="Q873" s="126">
        <f t="shared" ref="Q873:S873" si="312">Q874</f>
        <v>0</v>
      </c>
      <c r="R873" s="126">
        <f t="shared" si="312"/>
        <v>0</v>
      </c>
      <c r="S873" s="126">
        <f t="shared" si="312"/>
        <v>3080862</v>
      </c>
      <c r="T873" s="126">
        <f t="shared" si="286"/>
        <v>4357.0386084005086</v>
      </c>
      <c r="U873" s="126">
        <f>MAX(U874)</f>
        <v>5630.9663413944272</v>
      </c>
    </row>
    <row r="874" spans="1:21" s="67" customFormat="1" ht="61.5" x14ac:dyDescent="0.9">
      <c r="A874" s="67">
        <v>1</v>
      </c>
      <c r="B874" s="118">
        <f>SUBTOTAL(103,$A$529:A874)</f>
        <v>295</v>
      </c>
      <c r="C874" s="115" t="s">
        <v>101</v>
      </c>
      <c r="D874" s="122">
        <v>1971</v>
      </c>
      <c r="E874" s="127"/>
      <c r="F874" s="127" t="s">
        <v>274</v>
      </c>
      <c r="G874" s="122">
        <v>2</v>
      </c>
      <c r="H874" s="122">
        <v>2</v>
      </c>
      <c r="I874" s="123">
        <v>707.1</v>
      </c>
      <c r="J874" s="123">
        <v>649.5</v>
      </c>
      <c r="K874" s="123">
        <v>649.5</v>
      </c>
      <c r="L874" s="124">
        <v>32</v>
      </c>
      <c r="M874" s="122" t="s">
        <v>272</v>
      </c>
      <c r="N874" s="122" t="s">
        <v>276</v>
      </c>
      <c r="O874" s="125" t="s">
        <v>290</v>
      </c>
      <c r="P874" s="126">
        <v>3080862</v>
      </c>
      <c r="Q874" s="126">
        <v>0</v>
      </c>
      <c r="R874" s="126">
        <v>0</v>
      </c>
      <c r="S874" s="126">
        <f>P874-Q874-R874</f>
        <v>3080862</v>
      </c>
      <c r="T874" s="126">
        <f t="shared" si="286"/>
        <v>4357.0386084005086</v>
      </c>
      <c r="U874" s="126">
        <v>5630.9663413944272</v>
      </c>
    </row>
    <row r="875" spans="1:21" s="67" customFormat="1" ht="61.5" x14ac:dyDescent="0.9">
      <c r="B875" s="115" t="s">
        <v>910</v>
      </c>
      <c r="C875" s="119"/>
      <c r="D875" s="122" t="s">
        <v>943</v>
      </c>
      <c r="E875" s="122" t="s">
        <v>943</v>
      </c>
      <c r="F875" s="122" t="s">
        <v>943</v>
      </c>
      <c r="G875" s="122" t="s">
        <v>943</v>
      </c>
      <c r="H875" s="122" t="s">
        <v>943</v>
      </c>
      <c r="I875" s="123">
        <f>SUM(I876:I878)</f>
        <v>2386.1999999999998</v>
      </c>
      <c r="J875" s="123">
        <f t="shared" ref="J875:L875" si="313">SUM(J876:J878)</f>
        <v>1601.9</v>
      </c>
      <c r="K875" s="123">
        <f t="shared" si="313"/>
        <v>1428.6999999999998</v>
      </c>
      <c r="L875" s="124">
        <f t="shared" si="313"/>
        <v>70</v>
      </c>
      <c r="M875" s="122" t="s">
        <v>943</v>
      </c>
      <c r="N875" s="122" t="s">
        <v>943</v>
      </c>
      <c r="O875" s="125" t="s">
        <v>943</v>
      </c>
      <c r="P875" s="126">
        <v>7774419.2400000002</v>
      </c>
      <c r="Q875" s="126">
        <f t="shared" ref="Q875:S875" si="314">Q876+Q877+Q878</f>
        <v>0</v>
      </c>
      <c r="R875" s="126">
        <f t="shared" si="314"/>
        <v>0</v>
      </c>
      <c r="S875" s="126">
        <f t="shared" si="314"/>
        <v>7774419.2400000002</v>
      </c>
      <c r="T875" s="126">
        <f t="shared" si="286"/>
        <v>3258.0752828765403</v>
      </c>
      <c r="U875" s="126">
        <f>MAX(U876:U878)</f>
        <v>9195.219609938551</v>
      </c>
    </row>
    <row r="876" spans="1:21" s="67" customFormat="1" ht="61.5" x14ac:dyDescent="0.9">
      <c r="A876" s="67">
        <v>1</v>
      </c>
      <c r="B876" s="118">
        <f>SUBTOTAL(103,$A$529:A876)</f>
        <v>296</v>
      </c>
      <c r="C876" s="115" t="s">
        <v>194</v>
      </c>
      <c r="D876" s="122" t="s">
        <v>319</v>
      </c>
      <c r="E876" s="127"/>
      <c r="F876" s="127" t="s">
        <v>274</v>
      </c>
      <c r="G876" s="122" t="s">
        <v>313</v>
      </c>
      <c r="H876" s="122" t="s">
        <v>313</v>
      </c>
      <c r="I876" s="123">
        <v>953.3</v>
      </c>
      <c r="J876" s="123">
        <v>579.1</v>
      </c>
      <c r="K876" s="123">
        <v>542.29999999999995</v>
      </c>
      <c r="L876" s="124">
        <v>23</v>
      </c>
      <c r="M876" s="122" t="s">
        <v>272</v>
      </c>
      <c r="N876" s="122" t="s">
        <v>273</v>
      </c>
      <c r="O876" s="125" t="s">
        <v>275</v>
      </c>
      <c r="P876" s="126">
        <v>3549600</v>
      </c>
      <c r="Q876" s="126">
        <v>0</v>
      </c>
      <c r="R876" s="126">
        <v>0</v>
      </c>
      <c r="S876" s="126">
        <f t="shared" ref="S876:S878" si="315">P876-Q876-R876</f>
        <v>3549600</v>
      </c>
      <c r="T876" s="126">
        <f t="shared" si="286"/>
        <v>3723.4868352040285</v>
      </c>
      <c r="U876" s="126">
        <v>4927.1003042064403</v>
      </c>
    </row>
    <row r="877" spans="1:21" s="67" customFormat="1" ht="61.5" x14ac:dyDescent="0.9">
      <c r="A877" s="67">
        <v>1</v>
      </c>
      <c r="B877" s="118">
        <f>SUBTOTAL(103,$A$529:A877)</f>
        <v>297</v>
      </c>
      <c r="C877" s="115" t="s">
        <v>195</v>
      </c>
      <c r="D877" s="122" t="s">
        <v>312</v>
      </c>
      <c r="E877" s="127"/>
      <c r="F877" s="127" t="s">
        <v>274</v>
      </c>
      <c r="G877" s="122" t="s">
        <v>313</v>
      </c>
      <c r="H877" s="122" t="s">
        <v>318</v>
      </c>
      <c r="I877" s="123">
        <v>374.3</v>
      </c>
      <c r="J877" s="123">
        <v>369</v>
      </c>
      <c r="K877" s="123">
        <v>278.10000000000002</v>
      </c>
      <c r="L877" s="124">
        <v>16</v>
      </c>
      <c r="M877" s="122" t="s">
        <v>272</v>
      </c>
      <c r="N877" s="122" t="s">
        <v>273</v>
      </c>
      <c r="O877" s="125" t="s">
        <v>275</v>
      </c>
      <c r="P877" s="126">
        <v>2601000</v>
      </c>
      <c r="Q877" s="126">
        <v>0</v>
      </c>
      <c r="R877" s="126">
        <v>0</v>
      </c>
      <c r="S877" s="126">
        <f t="shared" si="315"/>
        <v>2601000</v>
      </c>
      <c r="T877" s="126">
        <f t="shared" si="286"/>
        <v>6948.9714133048356</v>
      </c>
      <c r="U877" s="126">
        <v>9195.219609938551</v>
      </c>
    </row>
    <row r="878" spans="1:21" s="67" customFormat="1" ht="61.5" x14ac:dyDescent="0.9">
      <c r="A878" s="67">
        <v>1</v>
      </c>
      <c r="B878" s="118">
        <f>SUBTOTAL(103,$A$529:A878)</f>
        <v>298</v>
      </c>
      <c r="C878" s="115" t="s">
        <v>196</v>
      </c>
      <c r="D878" s="122" t="s">
        <v>317</v>
      </c>
      <c r="E878" s="127"/>
      <c r="F878" s="127" t="s">
        <v>328</v>
      </c>
      <c r="G878" s="122" t="s">
        <v>313</v>
      </c>
      <c r="H878" s="122" t="s">
        <v>314</v>
      </c>
      <c r="I878" s="123">
        <v>1058.5999999999999</v>
      </c>
      <c r="J878" s="123">
        <v>653.79999999999995</v>
      </c>
      <c r="K878" s="123">
        <v>608.29999999999995</v>
      </c>
      <c r="L878" s="124">
        <v>31</v>
      </c>
      <c r="M878" s="122" t="s">
        <v>272</v>
      </c>
      <c r="N878" s="122" t="s">
        <v>273</v>
      </c>
      <c r="O878" s="125" t="s">
        <v>275</v>
      </c>
      <c r="P878" s="126">
        <v>1623819.24</v>
      </c>
      <c r="Q878" s="126">
        <v>0</v>
      </c>
      <c r="R878" s="126">
        <v>0</v>
      </c>
      <c r="S878" s="126">
        <f t="shared" si="315"/>
        <v>1623819.24</v>
      </c>
      <c r="T878" s="126">
        <f t="shared" si="286"/>
        <v>1533.930889854525</v>
      </c>
      <c r="U878" s="126">
        <v>3781.7773852257701</v>
      </c>
    </row>
    <row r="879" spans="1:21" s="67" customFormat="1" ht="61.5" x14ac:dyDescent="0.9">
      <c r="B879" s="115" t="s">
        <v>912</v>
      </c>
      <c r="C879" s="115"/>
      <c r="D879" s="122" t="s">
        <v>943</v>
      </c>
      <c r="E879" s="122" t="s">
        <v>943</v>
      </c>
      <c r="F879" s="122" t="s">
        <v>943</v>
      </c>
      <c r="G879" s="122" t="s">
        <v>943</v>
      </c>
      <c r="H879" s="122" t="s">
        <v>943</v>
      </c>
      <c r="I879" s="123">
        <f>I880</f>
        <v>834.7</v>
      </c>
      <c r="J879" s="123">
        <f t="shared" ref="J879:L879" si="316">J880</f>
        <v>476.3</v>
      </c>
      <c r="K879" s="123">
        <f t="shared" si="316"/>
        <v>476.3</v>
      </c>
      <c r="L879" s="124">
        <f t="shared" si="316"/>
        <v>54</v>
      </c>
      <c r="M879" s="122" t="s">
        <v>943</v>
      </c>
      <c r="N879" s="122" t="s">
        <v>943</v>
      </c>
      <c r="O879" s="125" t="s">
        <v>943</v>
      </c>
      <c r="P879" s="126">
        <v>4275483</v>
      </c>
      <c r="Q879" s="126">
        <f t="shared" ref="Q879:S879" si="317">Q880</f>
        <v>0</v>
      </c>
      <c r="R879" s="126">
        <f t="shared" si="317"/>
        <v>0</v>
      </c>
      <c r="S879" s="126">
        <f t="shared" si="317"/>
        <v>4275483</v>
      </c>
      <c r="T879" s="126">
        <f t="shared" si="286"/>
        <v>5122.1792260692464</v>
      </c>
      <c r="U879" s="126">
        <f>MAX(U880)</f>
        <v>6777.9186391517906</v>
      </c>
    </row>
    <row r="880" spans="1:21" s="67" customFormat="1" ht="61.5" x14ac:dyDescent="0.9">
      <c r="A880" s="67">
        <v>1</v>
      </c>
      <c r="B880" s="118">
        <f>SUBTOTAL(103,$A$529:A880)</f>
        <v>299</v>
      </c>
      <c r="C880" s="115" t="s">
        <v>198</v>
      </c>
      <c r="D880" s="122" t="s">
        <v>320</v>
      </c>
      <c r="E880" s="127"/>
      <c r="F880" s="127" t="s">
        <v>321</v>
      </c>
      <c r="G880" s="122" t="s">
        <v>313</v>
      </c>
      <c r="H880" s="122" t="s">
        <v>322</v>
      </c>
      <c r="I880" s="123">
        <v>834.7</v>
      </c>
      <c r="J880" s="123">
        <v>476.3</v>
      </c>
      <c r="K880" s="123">
        <v>476.3</v>
      </c>
      <c r="L880" s="124">
        <v>54</v>
      </c>
      <c r="M880" s="122" t="s">
        <v>272</v>
      </c>
      <c r="N880" s="122" t="s">
        <v>273</v>
      </c>
      <c r="O880" s="125" t="s">
        <v>275</v>
      </c>
      <c r="P880" s="126">
        <v>4275483</v>
      </c>
      <c r="Q880" s="126">
        <v>0</v>
      </c>
      <c r="R880" s="126">
        <v>0</v>
      </c>
      <c r="S880" s="126">
        <f>P880-Q880-R880</f>
        <v>4275483</v>
      </c>
      <c r="T880" s="126">
        <f t="shared" si="286"/>
        <v>5122.1792260692464</v>
      </c>
      <c r="U880" s="126">
        <v>6777.9186391517906</v>
      </c>
    </row>
    <row r="881" spans="1:21" s="67" customFormat="1" ht="61.5" x14ac:dyDescent="0.9">
      <c r="B881" s="115" t="s">
        <v>914</v>
      </c>
      <c r="C881" s="119"/>
      <c r="D881" s="122" t="s">
        <v>943</v>
      </c>
      <c r="E881" s="122" t="s">
        <v>943</v>
      </c>
      <c r="F881" s="122" t="s">
        <v>943</v>
      </c>
      <c r="G881" s="122" t="s">
        <v>943</v>
      </c>
      <c r="H881" s="122" t="s">
        <v>943</v>
      </c>
      <c r="I881" s="123">
        <f>I882+I883</f>
        <v>2424.8000000000002</v>
      </c>
      <c r="J881" s="123">
        <f t="shared" ref="J881:L881" si="318">J882+J883</f>
        <v>2129.6</v>
      </c>
      <c r="K881" s="123">
        <f t="shared" si="318"/>
        <v>1714.8000000000002</v>
      </c>
      <c r="L881" s="124">
        <f t="shared" si="318"/>
        <v>86</v>
      </c>
      <c r="M881" s="122" t="s">
        <v>943</v>
      </c>
      <c r="N881" s="122" t="s">
        <v>943</v>
      </c>
      <c r="O881" s="125" t="s">
        <v>943</v>
      </c>
      <c r="P881" s="126">
        <v>9113700</v>
      </c>
      <c r="Q881" s="126">
        <f t="shared" ref="Q881:S881" si="319">Q882+Q883</f>
        <v>0</v>
      </c>
      <c r="R881" s="126">
        <f t="shared" si="319"/>
        <v>0</v>
      </c>
      <c r="S881" s="126">
        <f t="shared" si="319"/>
        <v>9113700</v>
      </c>
      <c r="T881" s="126">
        <f t="shared" si="286"/>
        <v>3758.5367865390958</v>
      </c>
      <c r="U881" s="126">
        <f>MAX(U882:U883)</f>
        <v>5257.6906083244394</v>
      </c>
    </row>
    <row r="882" spans="1:21" s="67" customFormat="1" ht="61.5" x14ac:dyDescent="0.9">
      <c r="A882" s="67">
        <v>1</v>
      </c>
      <c r="B882" s="118">
        <f>SUBTOTAL(103,$A$529:A882)</f>
        <v>300</v>
      </c>
      <c r="C882" s="115" t="s">
        <v>217</v>
      </c>
      <c r="D882" s="122">
        <v>1938</v>
      </c>
      <c r="E882" s="127"/>
      <c r="F882" s="127" t="s">
        <v>274</v>
      </c>
      <c r="G882" s="122">
        <v>3</v>
      </c>
      <c r="H882" s="122">
        <v>4</v>
      </c>
      <c r="I882" s="123">
        <v>1675.2</v>
      </c>
      <c r="J882" s="123">
        <v>1444.2</v>
      </c>
      <c r="K882" s="123">
        <v>1029.4000000000001</v>
      </c>
      <c r="L882" s="124">
        <v>57</v>
      </c>
      <c r="M882" s="122" t="s">
        <v>272</v>
      </c>
      <c r="N882" s="122" t="s">
        <v>273</v>
      </c>
      <c r="O882" s="125" t="s">
        <v>275</v>
      </c>
      <c r="P882" s="126">
        <v>6135300</v>
      </c>
      <c r="Q882" s="126">
        <v>0</v>
      </c>
      <c r="R882" s="126">
        <v>0</v>
      </c>
      <c r="S882" s="126">
        <f t="shared" ref="S882:S883" si="320">P882-Q882-R882</f>
        <v>6135300</v>
      </c>
      <c r="T882" s="126">
        <f t="shared" si="286"/>
        <v>3662.4283667621776</v>
      </c>
      <c r="U882" s="126">
        <v>4846.3047457020057</v>
      </c>
    </row>
    <row r="883" spans="1:21" s="67" customFormat="1" ht="61.5" x14ac:dyDescent="0.9">
      <c r="A883" s="67">
        <v>1</v>
      </c>
      <c r="B883" s="118">
        <f>SUBTOTAL(103,$A$529:A883)</f>
        <v>301</v>
      </c>
      <c r="C883" s="115" t="s">
        <v>218</v>
      </c>
      <c r="D883" s="122">
        <v>1974</v>
      </c>
      <c r="E883" s="127"/>
      <c r="F883" s="127" t="s">
        <v>274</v>
      </c>
      <c r="G883" s="122">
        <v>2</v>
      </c>
      <c r="H883" s="122">
        <v>2</v>
      </c>
      <c r="I883" s="123">
        <v>749.6</v>
      </c>
      <c r="J883" s="123">
        <v>685.4</v>
      </c>
      <c r="K883" s="123">
        <v>685.4</v>
      </c>
      <c r="L883" s="124">
        <v>29</v>
      </c>
      <c r="M883" s="122" t="s">
        <v>272</v>
      </c>
      <c r="N883" s="122" t="s">
        <v>276</v>
      </c>
      <c r="O883" s="125" t="s">
        <v>342</v>
      </c>
      <c r="P883" s="126">
        <v>2978400</v>
      </c>
      <c r="Q883" s="126">
        <v>0</v>
      </c>
      <c r="R883" s="126">
        <v>0</v>
      </c>
      <c r="S883" s="126">
        <f t="shared" si="320"/>
        <v>2978400</v>
      </c>
      <c r="T883" s="126">
        <f t="shared" si="286"/>
        <v>3973.3191035218783</v>
      </c>
      <c r="U883" s="126">
        <v>5257.6906083244394</v>
      </c>
    </row>
    <row r="884" spans="1:21" s="67" customFormat="1" ht="61.5" x14ac:dyDescent="0.9">
      <c r="B884" s="115" t="s">
        <v>915</v>
      </c>
      <c r="C884" s="115"/>
      <c r="D884" s="122" t="s">
        <v>943</v>
      </c>
      <c r="E884" s="122" t="s">
        <v>943</v>
      </c>
      <c r="F884" s="122" t="s">
        <v>943</v>
      </c>
      <c r="G884" s="122" t="s">
        <v>943</v>
      </c>
      <c r="H884" s="122" t="s">
        <v>943</v>
      </c>
      <c r="I884" s="123">
        <f>I885</f>
        <v>813.6</v>
      </c>
      <c r="J884" s="123">
        <f t="shared" ref="J884:L884" si="321">J885</f>
        <v>752.3</v>
      </c>
      <c r="K884" s="123">
        <f t="shared" si="321"/>
        <v>752.3</v>
      </c>
      <c r="L884" s="124">
        <f t="shared" si="321"/>
        <v>16</v>
      </c>
      <c r="M884" s="122" t="s">
        <v>943</v>
      </c>
      <c r="N884" s="122" t="s">
        <v>943</v>
      </c>
      <c r="O884" s="125" t="s">
        <v>943</v>
      </c>
      <c r="P884" s="126">
        <v>3498600</v>
      </c>
      <c r="Q884" s="126">
        <f t="shared" ref="Q884:S884" si="322">Q885</f>
        <v>0</v>
      </c>
      <c r="R884" s="126">
        <f t="shared" si="322"/>
        <v>0</v>
      </c>
      <c r="S884" s="126">
        <f t="shared" si="322"/>
        <v>3498600</v>
      </c>
      <c r="T884" s="126">
        <f t="shared" si="286"/>
        <v>4300.1474926253686</v>
      </c>
      <c r="U884" s="126">
        <v>5623.0141222991097</v>
      </c>
    </row>
    <row r="885" spans="1:21" s="67" customFormat="1" ht="61.5" x14ac:dyDescent="0.9">
      <c r="A885" s="67">
        <v>1</v>
      </c>
      <c r="B885" s="118">
        <f>SUBTOTAL(103,$A$529:A885)</f>
        <v>302</v>
      </c>
      <c r="C885" s="115" t="s">
        <v>230</v>
      </c>
      <c r="D885" s="122">
        <v>1973</v>
      </c>
      <c r="E885" s="127"/>
      <c r="F885" s="127" t="s">
        <v>274</v>
      </c>
      <c r="G885" s="122">
        <v>2</v>
      </c>
      <c r="H885" s="122">
        <v>2</v>
      </c>
      <c r="I885" s="123">
        <v>813.6</v>
      </c>
      <c r="J885" s="123">
        <v>752.3</v>
      </c>
      <c r="K885" s="123">
        <v>752.3</v>
      </c>
      <c r="L885" s="124">
        <v>16</v>
      </c>
      <c r="M885" s="122" t="s">
        <v>272</v>
      </c>
      <c r="N885" s="122" t="s">
        <v>273</v>
      </c>
      <c r="O885" s="125" t="s">
        <v>275</v>
      </c>
      <c r="P885" s="126">
        <v>3498600</v>
      </c>
      <c r="Q885" s="126">
        <v>0</v>
      </c>
      <c r="R885" s="126">
        <v>0</v>
      </c>
      <c r="S885" s="126">
        <f>P885-Q885-R885</f>
        <v>3498600</v>
      </c>
      <c r="T885" s="126">
        <f t="shared" si="286"/>
        <v>4300.1474926253686</v>
      </c>
      <c r="U885" s="126">
        <v>5690.1659537856431</v>
      </c>
    </row>
    <row r="886" spans="1:21" s="67" customFormat="1" ht="61.5" x14ac:dyDescent="0.9">
      <c r="B886" s="115" t="s">
        <v>917</v>
      </c>
      <c r="C886" s="115"/>
      <c r="D886" s="122" t="s">
        <v>943</v>
      </c>
      <c r="E886" s="122" t="s">
        <v>943</v>
      </c>
      <c r="F886" s="122" t="s">
        <v>943</v>
      </c>
      <c r="G886" s="122" t="s">
        <v>943</v>
      </c>
      <c r="H886" s="122" t="s">
        <v>943</v>
      </c>
      <c r="I886" s="123">
        <f>I887</f>
        <v>791.9</v>
      </c>
      <c r="J886" s="123">
        <f t="shared" ref="J886:L886" si="323">J887</f>
        <v>736.9</v>
      </c>
      <c r="K886" s="123">
        <f t="shared" si="323"/>
        <v>695.3</v>
      </c>
      <c r="L886" s="124">
        <f t="shared" si="323"/>
        <v>22</v>
      </c>
      <c r="M886" s="122" t="s">
        <v>943</v>
      </c>
      <c r="N886" s="122" t="s">
        <v>943</v>
      </c>
      <c r="O886" s="125" t="s">
        <v>943</v>
      </c>
      <c r="P886" s="126">
        <v>3230340</v>
      </c>
      <c r="Q886" s="126">
        <f t="shared" ref="Q886:S886" si="324">Q887</f>
        <v>0</v>
      </c>
      <c r="R886" s="126">
        <f t="shared" si="324"/>
        <v>0</v>
      </c>
      <c r="S886" s="126">
        <f t="shared" si="324"/>
        <v>3230340</v>
      </c>
      <c r="T886" s="126">
        <f t="shared" si="286"/>
        <v>4079.2271751483772</v>
      </c>
      <c r="U886" s="126">
        <f>MAX(U887)</f>
        <v>5397.8333602727616</v>
      </c>
    </row>
    <row r="887" spans="1:21" s="67" customFormat="1" ht="61.5" x14ac:dyDescent="0.9">
      <c r="A887" s="67">
        <v>1</v>
      </c>
      <c r="B887" s="118">
        <f>SUBTOTAL(103,$A$529:A887)</f>
        <v>303</v>
      </c>
      <c r="C887" s="115" t="s">
        <v>224</v>
      </c>
      <c r="D887" s="122">
        <v>1979</v>
      </c>
      <c r="E887" s="127"/>
      <c r="F887" s="127" t="s">
        <v>274</v>
      </c>
      <c r="G887" s="122">
        <v>2</v>
      </c>
      <c r="H887" s="122">
        <v>2</v>
      </c>
      <c r="I887" s="123">
        <v>791.9</v>
      </c>
      <c r="J887" s="123">
        <v>736.9</v>
      </c>
      <c r="K887" s="123">
        <v>695.3</v>
      </c>
      <c r="L887" s="124">
        <v>22</v>
      </c>
      <c r="M887" s="122" t="s">
        <v>272</v>
      </c>
      <c r="N887" s="122" t="s">
        <v>273</v>
      </c>
      <c r="O887" s="125" t="s">
        <v>275</v>
      </c>
      <c r="P887" s="126">
        <v>3230340</v>
      </c>
      <c r="Q887" s="126">
        <v>0</v>
      </c>
      <c r="R887" s="126">
        <v>0</v>
      </c>
      <c r="S887" s="126">
        <f>P887-Q887-R887</f>
        <v>3230340</v>
      </c>
      <c r="T887" s="126">
        <f t="shared" si="286"/>
        <v>4079.2271751483772</v>
      </c>
      <c r="U887" s="126">
        <v>5397.8333602727616</v>
      </c>
    </row>
    <row r="888" spans="1:21" s="67" customFormat="1" ht="61.5" x14ac:dyDescent="0.9">
      <c r="B888" s="115" t="s">
        <v>805</v>
      </c>
      <c r="C888" s="116"/>
      <c r="D888" s="122" t="s">
        <v>943</v>
      </c>
      <c r="E888" s="122" t="s">
        <v>943</v>
      </c>
      <c r="F888" s="122" t="s">
        <v>943</v>
      </c>
      <c r="G888" s="122" t="s">
        <v>943</v>
      </c>
      <c r="H888" s="122" t="s">
        <v>943</v>
      </c>
      <c r="I888" s="123">
        <f>I889+I948+I963+I991+I1003+I1006+I1015+I1019+I1022+I1025+I1027+I1029+I1032+I1034+I1036+I1044+I1047+I1049+I1051+I1053+I1055+I1058+I1060+I1062+I1064+I1071+I1074+I1078+I1081+I1083+I1087+I1089+I1091+I1093+I1095+I1097+I1099+I1103+I1105+I1107+I1109+I1113+I1115+I1117+I1119+I1122+I1125+I1129+I1134+I1137+I1139+I1141+I1144+I1148+I1150+I1152+I1154+I1158</f>
        <v>536694.74</v>
      </c>
      <c r="J888" s="123">
        <f>J889+J948+J963+J991+J1003+J1006+J1015+J1019+J1022+J1025+J1027+J1029+J1032+J1034+J1036+J1044+J1047+J1049+J1051+J1053+J1055+J1058+J1060+J1062+J1064+J1071+J1074+J1078+J1081+J1083+J1087+J1089+J1091+J1093+J1095+J1097+J1099+J1103+J1105+J1107+J1109+J1113+J1115+J1117+J1119+J1122+J1125+J1129+J1134+J1137+J1139+J1141+J1144+J1148+J1150+J1152+J1154+J1158</f>
        <v>430537.28999999986</v>
      </c>
      <c r="K888" s="123">
        <f>K889+K948+K963+K991+K1003+K1006+K1015+K1019+K1022+K1025+K1027+K1029+K1032+K1034+K1036+K1044+K1047+K1049+K1051+K1053+K1055+K1058+K1060+K1062+K1064+K1071+K1074+K1078+K1081+K1083+K1087+K1089+K1091+K1093+K1095+K1097+K1099+K1103+K1105+K1107+K1109+K1113+K1115+K1117+K1119+K1122+K1125+K1129+K1134+K1137+K1139+K1141+K1144+K1148+K1150+K1152+K1154+K1158</f>
        <v>385253.43999999994</v>
      </c>
      <c r="L888" s="124">
        <f>L889+L948+L963+L991+L1003+L1006+L1015+L1019+L1022+L1025+L1027+L1029+L1032+L1034+L1036+L1044+L1047+L1049+L1051+L1053+L1055+L1058+L1060+L1062+L1064+L1071+L1074+L1078+L1081+L1083+L1087+L1089+L1091+L1093+L1095+L1097+L1099+L1103+L1105+L1107+L1109+L1113+L1115+L1117+L1119+L1122+L1125+L1129+L1134+L1137+L1139+L1141+L1144+L1148+L1150+L1152+L1154+L1158</f>
        <v>20608</v>
      </c>
      <c r="M888" s="122" t="s">
        <v>943</v>
      </c>
      <c r="N888" s="122" t="s">
        <v>943</v>
      </c>
      <c r="O888" s="125" t="s">
        <v>943</v>
      </c>
      <c r="P888" s="123">
        <v>791835849.29999995</v>
      </c>
      <c r="Q888" s="123">
        <f>Q889+Q948+Q963+Q991+Q1003+Q1006+Q1015+Q1019+Q1022+Q1025+Q1027+Q1029+Q1032+Q1034+Q1036+Q1044+Q1047+Q1049+Q1051+Q1053+Q1055+Q1058+Q1060+Q1062+Q1064+Q1071+Q1074+Q1078+Q1081+Q1083+Q1087+Q1089+Q1091+Q1093+Q1095+Q1097+Q1099+Q1103+Q1105+Q1107+Q1109+Q1113+Q1115+Q1117+Q1119+Q1122+Q1125+Q1129+Q1134+Q1137+Q1139+Q1141+Q1144+Q1148+Q1150+Q1152+Q1154+Q1158</f>
        <v>0</v>
      </c>
      <c r="R888" s="123">
        <f>R889+R948+R963+R991+R1003+R1006+R1015+R1019+R1022+R1025+R1027+R1029+R1032+R1034+R1036+R1044+R1047+R1049+R1051+R1053+R1055+R1058+R1060+R1062+R1064+R1071+R1074+R1078+R1081+R1083+R1087+R1089+R1091+R1093+R1095+R1097+R1099+R1103+R1105+R1107+R1109+R1113+R1115+R1117+R1119+R1122+R1125+R1129+R1134+R1137+R1139+R1141+R1144+R1148+R1150+R1152+R1154+R1158</f>
        <v>1851570.68</v>
      </c>
      <c r="S888" s="123">
        <f>S889+S948+S963+S991+S1003+S1006+S1015+S1019+S1022+S1025+S1027+S1029+S1032+S1034+S1036+S1044+S1047+S1049+S1051+S1053+S1055+S1058+S1060+S1062+S1064+S1071+S1074+S1078+S1081+S1083+S1087+S1089+S1091+S1093+S1095+S1097+S1099+S1103+S1105+S1107+S1109+S1113+S1115+S1117+S1119+S1122+S1125+S1129+S1134+S1137+S1139+S1141+S1144+S1148+S1150+S1152+S1154+S1158</f>
        <v>789984278.62</v>
      </c>
      <c r="T888" s="126">
        <f t="shared" si="286"/>
        <v>1475.393347995175</v>
      </c>
      <c r="U888" s="126">
        <f>MAX(U889:U1159)</f>
        <v>19059.946329879105</v>
      </c>
    </row>
    <row r="889" spans="1:21" s="67" customFormat="1" ht="61.5" x14ac:dyDescent="0.9">
      <c r="B889" s="115" t="s">
        <v>1170</v>
      </c>
      <c r="C889" s="119"/>
      <c r="D889" s="122" t="s">
        <v>943</v>
      </c>
      <c r="E889" s="122" t="s">
        <v>943</v>
      </c>
      <c r="F889" s="122" t="s">
        <v>943</v>
      </c>
      <c r="G889" s="122" t="s">
        <v>943</v>
      </c>
      <c r="H889" s="122" t="s">
        <v>943</v>
      </c>
      <c r="I889" s="123">
        <f>SUM(I890:I947)</f>
        <v>211691.09999999998</v>
      </c>
      <c r="J889" s="123">
        <f t="shared" ref="J889:L889" si="325">SUM(J890:J947)</f>
        <v>176962.87</v>
      </c>
      <c r="K889" s="123">
        <f t="shared" si="325"/>
        <v>153138.29999999996</v>
      </c>
      <c r="L889" s="124">
        <f t="shared" si="325"/>
        <v>8735</v>
      </c>
      <c r="M889" s="122" t="s">
        <v>943</v>
      </c>
      <c r="N889" s="122" t="s">
        <v>943</v>
      </c>
      <c r="O889" s="125" t="s">
        <v>943</v>
      </c>
      <c r="P889" s="126">
        <v>216853215.33000001</v>
      </c>
      <c r="Q889" s="126">
        <f t="shared" ref="Q889:S889" si="326">SUM(Q890:Q947)</f>
        <v>0</v>
      </c>
      <c r="R889" s="126">
        <f t="shared" si="326"/>
        <v>0</v>
      </c>
      <c r="S889" s="126">
        <f t="shared" si="326"/>
        <v>216853215.33000001</v>
      </c>
      <c r="T889" s="126">
        <f t="shared" si="286"/>
        <v>1024.3851315903221</v>
      </c>
      <c r="U889" s="126">
        <f>MAX(U890:U947)</f>
        <v>8368.9090480202176</v>
      </c>
    </row>
    <row r="890" spans="1:21" s="67" customFormat="1" ht="61.5" x14ac:dyDescent="0.9">
      <c r="A890" s="67">
        <v>1</v>
      </c>
      <c r="B890" s="118">
        <f>SUBTOTAL(103,$A890:A$890)</f>
        <v>1</v>
      </c>
      <c r="C890" s="115" t="s">
        <v>597</v>
      </c>
      <c r="D890" s="122">
        <v>1958</v>
      </c>
      <c r="E890" s="127"/>
      <c r="F890" s="127" t="s">
        <v>274</v>
      </c>
      <c r="G890" s="122">
        <v>2</v>
      </c>
      <c r="H890" s="122">
        <v>2</v>
      </c>
      <c r="I890" s="123">
        <v>593.5</v>
      </c>
      <c r="J890" s="123">
        <v>548.79999999999995</v>
      </c>
      <c r="K890" s="123">
        <v>511.1</v>
      </c>
      <c r="L890" s="124">
        <v>26</v>
      </c>
      <c r="M890" s="122" t="s">
        <v>272</v>
      </c>
      <c r="N890" s="122" t="s">
        <v>276</v>
      </c>
      <c r="O890" s="125" t="s">
        <v>1048</v>
      </c>
      <c r="P890" s="126">
        <v>3147713.25</v>
      </c>
      <c r="Q890" s="126">
        <v>0</v>
      </c>
      <c r="R890" s="126">
        <v>0</v>
      </c>
      <c r="S890" s="126">
        <f t="shared" ref="S890:S947" si="327">P890-Q890-R890</f>
        <v>3147713.25</v>
      </c>
      <c r="T890" s="126">
        <f t="shared" si="286"/>
        <v>5303.6449031171023</v>
      </c>
      <c r="U890" s="126">
        <v>8368.9090480202176</v>
      </c>
    </row>
    <row r="891" spans="1:21" s="67" customFormat="1" ht="61.5" x14ac:dyDescent="0.9">
      <c r="A891" s="67">
        <v>1</v>
      </c>
      <c r="B891" s="118">
        <f>SUBTOTAL(103,$A$890:A891)</f>
        <v>2</v>
      </c>
      <c r="C891" s="115" t="s">
        <v>598</v>
      </c>
      <c r="D891" s="122" t="s">
        <v>319</v>
      </c>
      <c r="E891" s="127"/>
      <c r="F891" s="127" t="s">
        <v>274</v>
      </c>
      <c r="G891" s="122" t="s">
        <v>363</v>
      </c>
      <c r="H891" s="122">
        <v>1</v>
      </c>
      <c r="I891" s="123">
        <v>658.3</v>
      </c>
      <c r="J891" s="123">
        <v>606.6</v>
      </c>
      <c r="K891" s="123">
        <v>287.10000000000002</v>
      </c>
      <c r="L891" s="124">
        <v>17</v>
      </c>
      <c r="M891" s="122" t="s">
        <v>272</v>
      </c>
      <c r="N891" s="122" t="s">
        <v>276</v>
      </c>
      <c r="O891" s="125" t="s">
        <v>1068</v>
      </c>
      <c r="P891" s="126">
        <v>1023224.5700000001</v>
      </c>
      <c r="Q891" s="126">
        <v>0</v>
      </c>
      <c r="R891" s="126">
        <v>0</v>
      </c>
      <c r="S891" s="126">
        <f t="shared" si="327"/>
        <v>1023224.5700000001</v>
      </c>
      <c r="T891" s="126">
        <f t="shared" si="286"/>
        <v>1554.3438705757255</v>
      </c>
      <c r="U891" s="126">
        <v>2357.8476378550813</v>
      </c>
    </row>
    <row r="892" spans="1:21" s="67" customFormat="1" ht="61.5" x14ac:dyDescent="0.9">
      <c r="A892" s="67">
        <v>1</v>
      </c>
      <c r="B892" s="118">
        <f>SUBTOTAL(103,$A$890:A892)</f>
        <v>3</v>
      </c>
      <c r="C892" s="115" t="s">
        <v>1143</v>
      </c>
      <c r="D892" s="122">
        <v>1962</v>
      </c>
      <c r="E892" s="127"/>
      <c r="F892" s="127" t="s">
        <v>274</v>
      </c>
      <c r="G892" s="122">
        <v>3</v>
      </c>
      <c r="H892" s="122">
        <v>2</v>
      </c>
      <c r="I892" s="123">
        <v>970.2</v>
      </c>
      <c r="J892" s="123">
        <v>615</v>
      </c>
      <c r="K892" s="123">
        <v>615</v>
      </c>
      <c r="L892" s="124">
        <v>60</v>
      </c>
      <c r="M892" s="122" t="s">
        <v>272</v>
      </c>
      <c r="N892" s="122" t="s">
        <v>276</v>
      </c>
      <c r="O892" s="125" t="s">
        <v>1152</v>
      </c>
      <c r="P892" s="126">
        <v>2100000</v>
      </c>
      <c r="Q892" s="126">
        <v>0</v>
      </c>
      <c r="R892" s="126">
        <v>0</v>
      </c>
      <c r="S892" s="126">
        <f t="shared" si="327"/>
        <v>2100000</v>
      </c>
      <c r="T892" s="126">
        <f t="shared" si="286"/>
        <v>2164.5021645021643</v>
      </c>
      <c r="U892" s="126">
        <v>2865.8120387548956</v>
      </c>
    </row>
    <row r="893" spans="1:21" s="67" customFormat="1" ht="61.5" x14ac:dyDescent="0.9">
      <c r="A893" s="67">
        <v>1</v>
      </c>
      <c r="B893" s="118">
        <f>SUBTOTAL(103,$A$890:A893)</f>
        <v>4</v>
      </c>
      <c r="C893" s="115" t="s">
        <v>599</v>
      </c>
      <c r="D893" s="122" t="s">
        <v>324</v>
      </c>
      <c r="E893" s="127"/>
      <c r="F893" s="127" t="s">
        <v>321</v>
      </c>
      <c r="G893" s="122" t="s">
        <v>363</v>
      </c>
      <c r="H893" s="122">
        <v>3</v>
      </c>
      <c r="I893" s="123">
        <v>2819.1</v>
      </c>
      <c r="J893" s="123">
        <v>2571.8000000000002</v>
      </c>
      <c r="K893" s="123">
        <v>1698</v>
      </c>
      <c r="L893" s="124">
        <v>109</v>
      </c>
      <c r="M893" s="122" t="s">
        <v>272</v>
      </c>
      <c r="N893" s="122" t="s">
        <v>276</v>
      </c>
      <c r="O893" s="125" t="s">
        <v>1044</v>
      </c>
      <c r="P893" s="126">
        <v>3183875.94</v>
      </c>
      <c r="Q893" s="126">
        <v>0</v>
      </c>
      <c r="R893" s="126">
        <v>0</v>
      </c>
      <c r="S893" s="126">
        <f t="shared" si="327"/>
        <v>3183875.94</v>
      </c>
      <c r="T893" s="126">
        <f t="shared" si="286"/>
        <v>1129.394466319038</v>
      </c>
      <c r="U893" s="126">
        <v>1728.3769784683057</v>
      </c>
    </row>
    <row r="894" spans="1:21" s="67" customFormat="1" ht="61.5" x14ac:dyDescent="0.9">
      <c r="A894" s="67">
        <v>1</v>
      </c>
      <c r="B894" s="118">
        <f>SUBTOTAL(103,$A$890:A894)</f>
        <v>5</v>
      </c>
      <c r="C894" s="115" t="s">
        <v>600</v>
      </c>
      <c r="D894" s="122" t="s">
        <v>319</v>
      </c>
      <c r="E894" s="127"/>
      <c r="F894" s="127" t="s">
        <v>274</v>
      </c>
      <c r="G894" s="122" t="s">
        <v>369</v>
      </c>
      <c r="H894" s="122">
        <v>1</v>
      </c>
      <c r="I894" s="123">
        <v>3295.9</v>
      </c>
      <c r="J894" s="123">
        <v>2784.3</v>
      </c>
      <c r="K894" s="123">
        <v>2287.3000000000002</v>
      </c>
      <c r="L894" s="124">
        <v>98</v>
      </c>
      <c r="M894" s="122" t="s">
        <v>272</v>
      </c>
      <c r="N894" s="122" t="s">
        <v>276</v>
      </c>
      <c r="O894" s="125" t="s">
        <v>1044</v>
      </c>
      <c r="P894" s="126">
        <v>1598353.21</v>
      </c>
      <c r="Q894" s="126">
        <v>0</v>
      </c>
      <c r="R894" s="126">
        <v>0</v>
      </c>
      <c r="S894" s="126">
        <f t="shared" si="327"/>
        <v>1598353.21</v>
      </c>
      <c r="T894" s="126">
        <f t="shared" si="286"/>
        <v>484.95197366424952</v>
      </c>
      <c r="U894" s="126">
        <v>718.69537000515788</v>
      </c>
    </row>
    <row r="895" spans="1:21" s="67" customFormat="1" ht="61.5" x14ac:dyDescent="0.9">
      <c r="A895" s="67">
        <v>1</v>
      </c>
      <c r="B895" s="118">
        <f>SUBTOTAL(103,$A$890:A895)</f>
        <v>6</v>
      </c>
      <c r="C895" s="115" t="s">
        <v>601</v>
      </c>
      <c r="D895" s="122" t="s">
        <v>324</v>
      </c>
      <c r="E895" s="127"/>
      <c r="F895" s="127" t="s">
        <v>321</v>
      </c>
      <c r="G895" s="122" t="s">
        <v>363</v>
      </c>
      <c r="H895" s="122">
        <v>5</v>
      </c>
      <c r="I895" s="123">
        <v>5771.6</v>
      </c>
      <c r="J895" s="123">
        <v>4780.3999999999996</v>
      </c>
      <c r="K895" s="123">
        <v>4455.8999999999996</v>
      </c>
      <c r="L895" s="124">
        <v>241</v>
      </c>
      <c r="M895" s="122" t="s">
        <v>272</v>
      </c>
      <c r="N895" s="122" t="s">
        <v>276</v>
      </c>
      <c r="O895" s="125" t="s">
        <v>1044</v>
      </c>
      <c r="P895" s="126">
        <v>5391207.6599999992</v>
      </c>
      <c r="Q895" s="126">
        <v>0</v>
      </c>
      <c r="R895" s="126">
        <v>0</v>
      </c>
      <c r="S895" s="126">
        <f t="shared" si="327"/>
        <v>5391207.6599999992</v>
      </c>
      <c r="T895" s="126">
        <f t="shared" si="286"/>
        <v>934.09239379028327</v>
      </c>
      <c r="U895" s="126">
        <v>1403.1263427818974</v>
      </c>
    </row>
    <row r="896" spans="1:21" s="67" customFormat="1" ht="61.5" x14ac:dyDescent="0.9">
      <c r="A896" s="67">
        <v>1</v>
      </c>
      <c r="B896" s="118">
        <f>SUBTOTAL(103,$A$890:A896)</f>
        <v>7</v>
      </c>
      <c r="C896" s="115" t="s">
        <v>602</v>
      </c>
      <c r="D896" s="122" t="s">
        <v>364</v>
      </c>
      <c r="E896" s="127"/>
      <c r="F896" s="127" t="s">
        <v>274</v>
      </c>
      <c r="G896" s="122" t="s">
        <v>369</v>
      </c>
      <c r="H896" s="122">
        <v>1</v>
      </c>
      <c r="I896" s="123">
        <v>2826.2</v>
      </c>
      <c r="J896" s="123">
        <v>2772.3</v>
      </c>
      <c r="K896" s="123">
        <v>1324.2</v>
      </c>
      <c r="L896" s="124">
        <v>97</v>
      </c>
      <c r="M896" s="122" t="s">
        <v>272</v>
      </c>
      <c r="N896" s="122" t="s">
        <v>276</v>
      </c>
      <c r="O896" s="125" t="s">
        <v>1044</v>
      </c>
      <c r="P896" s="126">
        <v>1896320.0799999998</v>
      </c>
      <c r="Q896" s="126">
        <v>0</v>
      </c>
      <c r="R896" s="126">
        <v>0</v>
      </c>
      <c r="S896" s="126">
        <f t="shared" si="327"/>
        <v>1896320.0799999998</v>
      </c>
      <c r="T896" s="126">
        <f t="shared" si="286"/>
        <v>670.97872762012594</v>
      </c>
      <c r="U896" s="126">
        <v>1002.9012101054419</v>
      </c>
    </row>
    <row r="897" spans="1:21" s="67" customFormat="1" ht="61.5" x14ac:dyDescent="0.9">
      <c r="A897" s="67">
        <v>1</v>
      </c>
      <c r="B897" s="118">
        <f>SUBTOTAL(103,$A$890:A897)</f>
        <v>8</v>
      </c>
      <c r="C897" s="115" t="s">
        <v>603</v>
      </c>
      <c r="D897" s="122" t="s">
        <v>327</v>
      </c>
      <c r="E897" s="127"/>
      <c r="F897" s="127" t="s">
        <v>321</v>
      </c>
      <c r="G897" s="122" t="s">
        <v>363</v>
      </c>
      <c r="H897" s="122">
        <v>3</v>
      </c>
      <c r="I897" s="123">
        <v>2495.6</v>
      </c>
      <c r="J897" s="123">
        <v>2297</v>
      </c>
      <c r="K897" s="123">
        <v>2070.8000000000002</v>
      </c>
      <c r="L897" s="124">
        <v>94</v>
      </c>
      <c r="M897" s="122" t="s">
        <v>272</v>
      </c>
      <c r="N897" s="122" t="s">
        <v>276</v>
      </c>
      <c r="O897" s="125" t="s">
        <v>1069</v>
      </c>
      <c r="P897" s="126">
        <v>2718609.5</v>
      </c>
      <c r="Q897" s="126">
        <v>0</v>
      </c>
      <c r="R897" s="126">
        <v>0</v>
      </c>
      <c r="S897" s="126">
        <f t="shared" si="327"/>
        <v>2718609.5</v>
      </c>
      <c r="T897" s="126">
        <f t="shared" si="286"/>
        <v>1089.3610754928675</v>
      </c>
      <c r="U897" s="126">
        <v>1603.5831102740824</v>
      </c>
    </row>
    <row r="898" spans="1:21" s="67" customFormat="1" ht="61.5" x14ac:dyDescent="0.9">
      <c r="A898" s="67">
        <v>1</v>
      </c>
      <c r="B898" s="118">
        <f>SUBTOTAL(103,$A$890:A898)</f>
        <v>9</v>
      </c>
      <c r="C898" s="115" t="s">
        <v>604</v>
      </c>
      <c r="D898" s="122" t="s">
        <v>383</v>
      </c>
      <c r="E898" s="127"/>
      <c r="F898" s="127" t="s">
        <v>274</v>
      </c>
      <c r="G898" s="122" t="s">
        <v>369</v>
      </c>
      <c r="H898" s="122">
        <v>1</v>
      </c>
      <c r="I898" s="123">
        <v>6352.8</v>
      </c>
      <c r="J898" s="123">
        <v>4687.3999999999996</v>
      </c>
      <c r="K898" s="123">
        <v>2543.4</v>
      </c>
      <c r="L898" s="124">
        <v>211</v>
      </c>
      <c r="M898" s="122" t="s">
        <v>272</v>
      </c>
      <c r="N898" s="122" t="s">
        <v>276</v>
      </c>
      <c r="O898" s="125" t="s">
        <v>1046</v>
      </c>
      <c r="P898" s="126">
        <v>3653990.26</v>
      </c>
      <c r="Q898" s="126">
        <v>0</v>
      </c>
      <c r="R898" s="126">
        <v>0</v>
      </c>
      <c r="S898" s="126">
        <f t="shared" si="327"/>
        <v>3653990.26</v>
      </c>
      <c r="T898" s="126">
        <f t="shared" si="286"/>
        <v>575.17791524996846</v>
      </c>
      <c r="U898" s="126">
        <v>843.46502014859584</v>
      </c>
    </row>
    <row r="899" spans="1:21" s="67" customFormat="1" ht="61.5" x14ac:dyDescent="0.9">
      <c r="A899" s="67">
        <v>1</v>
      </c>
      <c r="B899" s="118">
        <f>SUBTOTAL(103,$A$890:A899)</f>
        <v>10</v>
      </c>
      <c r="C899" s="115" t="s">
        <v>605</v>
      </c>
      <c r="D899" s="122" t="s">
        <v>333</v>
      </c>
      <c r="E899" s="127"/>
      <c r="F899" s="127" t="s">
        <v>274</v>
      </c>
      <c r="G899" s="122">
        <v>5</v>
      </c>
      <c r="H899" s="122">
        <v>6</v>
      </c>
      <c r="I899" s="123">
        <v>5698.9</v>
      </c>
      <c r="J899" s="123">
        <v>5065.3999999999996</v>
      </c>
      <c r="K899" s="123">
        <v>4813.7</v>
      </c>
      <c r="L899" s="124">
        <v>254</v>
      </c>
      <c r="M899" s="122" t="s">
        <v>272</v>
      </c>
      <c r="N899" s="122" t="s">
        <v>276</v>
      </c>
      <c r="O899" s="125" t="s">
        <v>1050</v>
      </c>
      <c r="P899" s="126">
        <v>6464995.3799999999</v>
      </c>
      <c r="Q899" s="126">
        <v>0</v>
      </c>
      <c r="R899" s="126">
        <v>0</v>
      </c>
      <c r="S899" s="126">
        <f t="shared" si="327"/>
        <v>6464995.3799999999</v>
      </c>
      <c r="T899" s="126">
        <f t="shared" si="286"/>
        <v>1134.4286406148556</v>
      </c>
      <c r="U899" s="126">
        <v>1640.5742999526226</v>
      </c>
    </row>
    <row r="900" spans="1:21" s="67" customFormat="1" ht="61.5" x14ac:dyDescent="0.9">
      <c r="A900" s="67">
        <v>1</v>
      </c>
      <c r="B900" s="118">
        <f>SUBTOTAL(103,$A$890:A900)</f>
        <v>11</v>
      </c>
      <c r="C900" s="115" t="s">
        <v>606</v>
      </c>
      <c r="D900" s="122" t="s">
        <v>384</v>
      </c>
      <c r="E900" s="127"/>
      <c r="F900" s="127" t="s">
        <v>321</v>
      </c>
      <c r="G900" s="122" t="s">
        <v>363</v>
      </c>
      <c r="H900" s="122">
        <v>4</v>
      </c>
      <c r="I900" s="123">
        <v>4042.4</v>
      </c>
      <c r="J900" s="123">
        <v>3045.4</v>
      </c>
      <c r="K900" s="123">
        <v>2978.7</v>
      </c>
      <c r="L900" s="124">
        <v>118</v>
      </c>
      <c r="M900" s="122" t="s">
        <v>272</v>
      </c>
      <c r="N900" s="122" t="s">
        <v>276</v>
      </c>
      <c r="O900" s="125" t="s">
        <v>1045</v>
      </c>
      <c r="P900" s="126">
        <v>3493332.35</v>
      </c>
      <c r="Q900" s="126">
        <v>0</v>
      </c>
      <c r="R900" s="126">
        <v>0</v>
      </c>
      <c r="S900" s="126">
        <f t="shared" si="327"/>
        <v>3493332.35</v>
      </c>
      <c r="T900" s="126">
        <f t="shared" si="286"/>
        <v>864.17285523451415</v>
      </c>
      <c r="U900" s="126">
        <v>1269.1131293291114</v>
      </c>
    </row>
    <row r="901" spans="1:21" s="67" customFormat="1" ht="61.5" x14ac:dyDescent="0.9">
      <c r="A901" s="67">
        <v>1</v>
      </c>
      <c r="B901" s="118">
        <f>SUBTOTAL(103,$A$890:A901)</f>
        <v>12</v>
      </c>
      <c r="C901" s="115" t="s">
        <v>607</v>
      </c>
      <c r="D901" s="122">
        <v>1971</v>
      </c>
      <c r="E901" s="127"/>
      <c r="F901" s="127" t="s">
        <v>274</v>
      </c>
      <c r="G901" s="122">
        <v>5</v>
      </c>
      <c r="H901" s="122">
        <v>5</v>
      </c>
      <c r="I901" s="123">
        <v>4541.8</v>
      </c>
      <c r="J901" s="123">
        <v>4541.8</v>
      </c>
      <c r="K901" s="123">
        <v>4403.2</v>
      </c>
      <c r="L901" s="124">
        <v>250</v>
      </c>
      <c r="M901" s="122" t="s">
        <v>272</v>
      </c>
      <c r="N901" s="122" t="s">
        <v>276</v>
      </c>
      <c r="O901" s="125" t="s">
        <v>359</v>
      </c>
      <c r="P901" s="126">
        <v>5751539.1200000001</v>
      </c>
      <c r="Q901" s="126">
        <v>0</v>
      </c>
      <c r="R901" s="126">
        <v>0</v>
      </c>
      <c r="S901" s="126">
        <f t="shared" si="327"/>
        <v>5751539.1200000001</v>
      </c>
      <c r="T901" s="126">
        <f t="shared" si="286"/>
        <v>1266.3567572328152</v>
      </c>
      <c r="U901" s="126">
        <v>1872.8032119424017</v>
      </c>
    </row>
    <row r="902" spans="1:21" s="67" customFormat="1" ht="61.5" x14ac:dyDescent="0.9">
      <c r="A902" s="67">
        <v>1</v>
      </c>
      <c r="B902" s="118">
        <f>SUBTOTAL(103,$A$890:A902)</f>
        <v>13</v>
      </c>
      <c r="C902" s="115" t="s">
        <v>608</v>
      </c>
      <c r="D902" s="122" t="s">
        <v>319</v>
      </c>
      <c r="E902" s="127"/>
      <c r="F902" s="127" t="s">
        <v>321</v>
      </c>
      <c r="G902" s="122" t="s">
        <v>363</v>
      </c>
      <c r="H902" s="122">
        <v>6</v>
      </c>
      <c r="I902" s="123">
        <v>6071.1</v>
      </c>
      <c r="J902" s="123">
        <v>4547.3999999999996</v>
      </c>
      <c r="K902" s="123">
        <v>4155.2</v>
      </c>
      <c r="L902" s="124">
        <v>204</v>
      </c>
      <c r="M902" s="122" t="s">
        <v>272</v>
      </c>
      <c r="N902" s="122" t="s">
        <v>276</v>
      </c>
      <c r="O902" s="125" t="s">
        <v>1045</v>
      </c>
      <c r="P902" s="126">
        <v>5350859.32</v>
      </c>
      <c r="Q902" s="126">
        <v>0</v>
      </c>
      <c r="R902" s="126">
        <v>0</v>
      </c>
      <c r="S902" s="126">
        <f t="shared" si="327"/>
        <v>5350859.32</v>
      </c>
      <c r="T902" s="126">
        <f t="shared" si="286"/>
        <v>881.36570308510818</v>
      </c>
      <c r="U902" s="126">
        <v>1279.4393223633276</v>
      </c>
    </row>
    <row r="903" spans="1:21" s="67" customFormat="1" ht="61.5" x14ac:dyDescent="0.9">
      <c r="A903" s="67">
        <v>1</v>
      </c>
      <c r="B903" s="118">
        <f>SUBTOTAL(103,$A$890:A903)</f>
        <v>14</v>
      </c>
      <c r="C903" s="115" t="s">
        <v>609</v>
      </c>
      <c r="D903" s="122" t="s">
        <v>382</v>
      </c>
      <c r="E903" s="127"/>
      <c r="F903" s="127" t="s">
        <v>321</v>
      </c>
      <c r="G903" s="122" t="s">
        <v>385</v>
      </c>
      <c r="H903" s="122">
        <v>2</v>
      </c>
      <c r="I903" s="123">
        <v>2963</v>
      </c>
      <c r="J903" s="123">
        <v>2175.9</v>
      </c>
      <c r="K903" s="123">
        <v>2084.1</v>
      </c>
      <c r="L903" s="124">
        <v>123</v>
      </c>
      <c r="M903" s="122" t="s">
        <v>272</v>
      </c>
      <c r="N903" s="122" t="s">
        <v>276</v>
      </c>
      <c r="O903" s="125" t="s">
        <v>1045</v>
      </c>
      <c r="P903" s="126">
        <v>2108786.08</v>
      </c>
      <c r="Q903" s="126">
        <v>0</v>
      </c>
      <c r="R903" s="126">
        <v>0</v>
      </c>
      <c r="S903" s="126">
        <f t="shared" si="327"/>
        <v>2108786.08</v>
      </c>
      <c r="T903" s="126">
        <f t="shared" si="286"/>
        <v>711.70640566992915</v>
      </c>
      <c r="U903" s="126">
        <v>1058.4071815727302</v>
      </c>
    </row>
    <row r="904" spans="1:21" s="67" customFormat="1" ht="61.5" x14ac:dyDescent="0.9">
      <c r="A904" s="67">
        <v>1</v>
      </c>
      <c r="B904" s="118">
        <f>SUBTOTAL(103,$A$890:A904)</f>
        <v>15</v>
      </c>
      <c r="C904" s="115" t="s">
        <v>610</v>
      </c>
      <c r="D904" s="122" t="s">
        <v>323</v>
      </c>
      <c r="E904" s="127"/>
      <c r="F904" s="127" t="s">
        <v>321</v>
      </c>
      <c r="G904" s="122" t="s">
        <v>385</v>
      </c>
      <c r="H904" s="122">
        <v>2</v>
      </c>
      <c r="I904" s="123">
        <v>2482.1</v>
      </c>
      <c r="J904" s="123">
        <v>2181.5500000000002</v>
      </c>
      <c r="K904" s="123">
        <v>1858.6</v>
      </c>
      <c r="L904" s="124">
        <v>96</v>
      </c>
      <c r="M904" s="122" t="s">
        <v>272</v>
      </c>
      <c r="N904" s="122" t="s">
        <v>276</v>
      </c>
      <c r="O904" s="125" t="s">
        <v>1048</v>
      </c>
      <c r="P904" s="126">
        <v>2108788.0499999998</v>
      </c>
      <c r="Q904" s="126">
        <v>0</v>
      </c>
      <c r="R904" s="126">
        <v>0</v>
      </c>
      <c r="S904" s="126">
        <f t="shared" si="327"/>
        <v>2108788.0499999998</v>
      </c>
      <c r="T904" s="126">
        <f t="shared" si="286"/>
        <v>849.59834414407146</v>
      </c>
      <c r="U904" s="126">
        <v>1263.4162634865638</v>
      </c>
    </row>
    <row r="905" spans="1:21" s="67" customFormat="1" ht="61.5" x14ac:dyDescent="0.9">
      <c r="A905" s="67">
        <v>1</v>
      </c>
      <c r="B905" s="118">
        <f>SUBTOTAL(103,$A$890:A905)</f>
        <v>16</v>
      </c>
      <c r="C905" s="115" t="s">
        <v>611</v>
      </c>
      <c r="D905" s="122" t="s">
        <v>386</v>
      </c>
      <c r="E905" s="127"/>
      <c r="F905" s="127" t="s">
        <v>321</v>
      </c>
      <c r="G905" s="122" t="s">
        <v>363</v>
      </c>
      <c r="H905" s="122">
        <v>4</v>
      </c>
      <c r="I905" s="123">
        <v>3579.9</v>
      </c>
      <c r="J905" s="123">
        <v>3134.6</v>
      </c>
      <c r="K905" s="123">
        <v>3134.6</v>
      </c>
      <c r="L905" s="124">
        <v>151</v>
      </c>
      <c r="M905" s="122" t="s">
        <v>272</v>
      </c>
      <c r="N905" s="122" t="s">
        <v>276</v>
      </c>
      <c r="O905" s="125" t="s">
        <v>1050</v>
      </c>
      <c r="P905" s="126">
        <v>4241954.88</v>
      </c>
      <c r="Q905" s="126">
        <v>0</v>
      </c>
      <c r="R905" s="126">
        <v>0</v>
      </c>
      <c r="S905" s="126">
        <f t="shared" si="327"/>
        <v>4241954.88</v>
      </c>
      <c r="T905" s="126">
        <f t="shared" si="286"/>
        <v>1184.9366965557697</v>
      </c>
      <c r="U905" s="126">
        <v>1729.9820355317188</v>
      </c>
    </row>
    <row r="906" spans="1:21" s="67" customFormat="1" ht="61.5" x14ac:dyDescent="0.9">
      <c r="A906" s="67">
        <v>1</v>
      </c>
      <c r="B906" s="118">
        <f>SUBTOTAL(103,$A$890:A906)</f>
        <v>17</v>
      </c>
      <c r="C906" s="115" t="s">
        <v>612</v>
      </c>
      <c r="D906" s="122" t="s">
        <v>387</v>
      </c>
      <c r="E906" s="127"/>
      <c r="F906" s="127" t="s">
        <v>274</v>
      </c>
      <c r="G906" s="122" t="s">
        <v>322</v>
      </c>
      <c r="H906" s="122">
        <v>1</v>
      </c>
      <c r="I906" s="123">
        <v>1637</v>
      </c>
      <c r="J906" s="123">
        <v>983.6</v>
      </c>
      <c r="K906" s="123">
        <v>768.5</v>
      </c>
      <c r="L906" s="124">
        <v>71</v>
      </c>
      <c r="M906" s="122" t="s">
        <v>272</v>
      </c>
      <c r="N906" s="122" t="s">
        <v>276</v>
      </c>
      <c r="O906" s="125" t="s">
        <v>1048</v>
      </c>
      <c r="P906" s="126">
        <v>3514995.2</v>
      </c>
      <c r="Q906" s="126">
        <v>0</v>
      </c>
      <c r="R906" s="126">
        <v>0</v>
      </c>
      <c r="S906" s="126">
        <f t="shared" si="327"/>
        <v>3514995.2</v>
      </c>
      <c r="T906" s="126">
        <f t="shared" si="286"/>
        <v>2147.2175931582165</v>
      </c>
      <c r="U906" s="126">
        <v>3194.9552535125231</v>
      </c>
    </row>
    <row r="907" spans="1:21" s="67" customFormat="1" ht="61.5" x14ac:dyDescent="0.9">
      <c r="A907" s="67">
        <v>1</v>
      </c>
      <c r="B907" s="118">
        <f>SUBTOTAL(103,$A$890:A907)</f>
        <v>18</v>
      </c>
      <c r="C907" s="115" t="s">
        <v>613</v>
      </c>
      <c r="D907" s="122" t="s">
        <v>320</v>
      </c>
      <c r="E907" s="127"/>
      <c r="F907" s="127" t="s">
        <v>321</v>
      </c>
      <c r="G907" s="122" t="s">
        <v>363</v>
      </c>
      <c r="H907" s="122">
        <v>3</v>
      </c>
      <c r="I907" s="123">
        <v>2249.1</v>
      </c>
      <c r="J907" s="123">
        <v>2046.7</v>
      </c>
      <c r="K907" s="123">
        <v>2046.7</v>
      </c>
      <c r="L907" s="124">
        <v>97</v>
      </c>
      <c r="M907" s="122" t="s">
        <v>272</v>
      </c>
      <c r="N907" s="122" t="s">
        <v>276</v>
      </c>
      <c r="O907" s="125" t="s">
        <v>1050</v>
      </c>
      <c r="P907" s="126">
        <v>2547497.35</v>
      </c>
      <c r="Q907" s="126">
        <v>0</v>
      </c>
      <c r="R907" s="126">
        <v>0</v>
      </c>
      <c r="S907" s="126">
        <f t="shared" si="327"/>
        <v>2547497.35</v>
      </c>
      <c r="T907" s="126">
        <f t="shared" si="286"/>
        <v>1132.6741140900806</v>
      </c>
      <c r="U907" s="126">
        <v>1671.3145213641012</v>
      </c>
    </row>
    <row r="908" spans="1:21" s="67" customFormat="1" ht="61.5" x14ac:dyDescent="0.9">
      <c r="A908" s="67">
        <v>1</v>
      </c>
      <c r="B908" s="118">
        <f>SUBTOTAL(103,$A$890:A908)</f>
        <v>19</v>
      </c>
      <c r="C908" s="115" t="s">
        <v>614</v>
      </c>
      <c r="D908" s="122" t="s">
        <v>320</v>
      </c>
      <c r="E908" s="127"/>
      <c r="F908" s="127" t="s">
        <v>274</v>
      </c>
      <c r="G908" s="122" t="s">
        <v>363</v>
      </c>
      <c r="H908" s="122">
        <v>1</v>
      </c>
      <c r="I908" s="123">
        <v>867.9</v>
      </c>
      <c r="J908" s="123">
        <v>809.2</v>
      </c>
      <c r="K908" s="123">
        <v>766.2</v>
      </c>
      <c r="L908" s="124">
        <v>36</v>
      </c>
      <c r="M908" s="122" t="s">
        <v>272</v>
      </c>
      <c r="N908" s="122" t="s">
        <v>276</v>
      </c>
      <c r="O908" s="125" t="s">
        <v>360</v>
      </c>
      <c r="P908" s="126">
        <v>974208.66</v>
      </c>
      <c r="Q908" s="126">
        <v>0</v>
      </c>
      <c r="R908" s="126">
        <v>0</v>
      </c>
      <c r="S908" s="126">
        <f t="shared" si="327"/>
        <v>974208.66</v>
      </c>
      <c r="T908" s="126">
        <f t="shared" si="286"/>
        <v>1122.4895264431386</v>
      </c>
      <c r="U908" s="126">
        <v>1757.3186081345775</v>
      </c>
    </row>
    <row r="909" spans="1:21" s="67" customFormat="1" ht="61.5" x14ac:dyDescent="0.9">
      <c r="A909" s="67">
        <v>1</v>
      </c>
      <c r="B909" s="118">
        <f>SUBTOTAL(103,$A$890:A909)</f>
        <v>20</v>
      </c>
      <c r="C909" s="115" t="s">
        <v>615</v>
      </c>
      <c r="D909" s="128" t="s">
        <v>388</v>
      </c>
      <c r="E909" s="127"/>
      <c r="F909" s="127" t="s">
        <v>321</v>
      </c>
      <c r="G909" s="122" t="s">
        <v>363</v>
      </c>
      <c r="H909" s="122">
        <v>3</v>
      </c>
      <c r="I909" s="123">
        <v>2653.8</v>
      </c>
      <c r="J909" s="123">
        <v>2443.1</v>
      </c>
      <c r="K909" s="123">
        <v>2354.1</v>
      </c>
      <c r="L909" s="124">
        <v>102</v>
      </c>
      <c r="M909" s="122" t="s">
        <v>272</v>
      </c>
      <c r="N909" s="122" t="s">
        <v>276</v>
      </c>
      <c r="O909" s="125" t="s">
        <v>1044</v>
      </c>
      <c r="P909" s="126">
        <v>2883983.08</v>
      </c>
      <c r="Q909" s="126">
        <v>0</v>
      </c>
      <c r="R909" s="126">
        <v>0</v>
      </c>
      <c r="S909" s="126">
        <f t="shared" si="327"/>
        <v>2883983.08</v>
      </c>
      <c r="T909" s="126">
        <f t="shared" si="286"/>
        <v>1086.7371618057125</v>
      </c>
      <c r="U909" s="126">
        <v>1607.1656643303941</v>
      </c>
    </row>
    <row r="910" spans="1:21" s="67" customFormat="1" ht="61.5" x14ac:dyDescent="0.9">
      <c r="A910" s="67">
        <v>1</v>
      </c>
      <c r="B910" s="118">
        <f>SUBTOTAL(103,$A$890:A910)</f>
        <v>21</v>
      </c>
      <c r="C910" s="115" t="s">
        <v>616</v>
      </c>
      <c r="D910" s="128" t="s">
        <v>388</v>
      </c>
      <c r="E910" s="127"/>
      <c r="F910" s="127" t="s">
        <v>321</v>
      </c>
      <c r="G910" s="122" t="s">
        <v>363</v>
      </c>
      <c r="H910" s="122">
        <v>3</v>
      </c>
      <c r="I910" s="123">
        <v>2632.8</v>
      </c>
      <c r="J910" s="123">
        <v>2351.9</v>
      </c>
      <c r="K910" s="123">
        <v>2335.8000000000002</v>
      </c>
      <c r="L910" s="124">
        <v>107</v>
      </c>
      <c r="M910" s="122" t="s">
        <v>272</v>
      </c>
      <c r="N910" s="122" t="s">
        <v>276</v>
      </c>
      <c r="O910" s="125" t="s">
        <v>1044</v>
      </c>
      <c r="P910" s="126">
        <v>2883983.08</v>
      </c>
      <c r="Q910" s="126">
        <v>0</v>
      </c>
      <c r="R910" s="126">
        <v>0</v>
      </c>
      <c r="S910" s="126">
        <f t="shared" si="327"/>
        <v>2883983.08</v>
      </c>
      <c r="T910" s="126">
        <f t="shared" ref="T910:T973" si="328">P910/I910</f>
        <v>1095.4053023397144</v>
      </c>
      <c r="U910" s="126">
        <v>1619.9848982072317</v>
      </c>
    </row>
    <row r="911" spans="1:21" s="67" customFormat="1" ht="61.5" x14ac:dyDescent="0.9">
      <c r="A911" s="67">
        <v>1</v>
      </c>
      <c r="B911" s="118">
        <f>SUBTOTAL(103,$A$890:A911)</f>
        <v>22</v>
      </c>
      <c r="C911" s="115" t="s">
        <v>617</v>
      </c>
      <c r="D911" s="122" t="s">
        <v>320</v>
      </c>
      <c r="E911" s="127"/>
      <c r="F911" s="127" t="s">
        <v>274</v>
      </c>
      <c r="G911" s="122" t="s">
        <v>369</v>
      </c>
      <c r="H911" s="122">
        <v>1</v>
      </c>
      <c r="I911" s="123">
        <v>3626.2</v>
      </c>
      <c r="J911" s="123">
        <v>3322.8</v>
      </c>
      <c r="K911" s="123">
        <v>3152.1</v>
      </c>
      <c r="L911" s="124">
        <v>152</v>
      </c>
      <c r="M911" s="122" t="s">
        <v>272</v>
      </c>
      <c r="N911" s="122" t="s">
        <v>276</v>
      </c>
      <c r="O911" s="125" t="s">
        <v>1044</v>
      </c>
      <c r="P911" s="126">
        <v>3302263</v>
      </c>
      <c r="Q911" s="126">
        <v>0</v>
      </c>
      <c r="R911" s="126">
        <v>0</v>
      </c>
      <c r="S911" s="126">
        <f t="shared" si="327"/>
        <v>3302263</v>
      </c>
      <c r="T911" s="126">
        <f t="shared" si="328"/>
        <v>910.66764105675372</v>
      </c>
      <c r="U911" s="126">
        <v>1339.9620539407645</v>
      </c>
    </row>
    <row r="912" spans="1:21" s="67" customFormat="1" ht="61.5" x14ac:dyDescent="0.9">
      <c r="A912" s="67">
        <v>1</v>
      </c>
      <c r="B912" s="118">
        <f>SUBTOTAL(103,$A$890:A912)</f>
        <v>23</v>
      </c>
      <c r="C912" s="115" t="s">
        <v>618</v>
      </c>
      <c r="D912" s="122" t="s">
        <v>317</v>
      </c>
      <c r="E912" s="127"/>
      <c r="F912" s="127" t="s">
        <v>321</v>
      </c>
      <c r="G912" s="122" t="s">
        <v>363</v>
      </c>
      <c r="H912" s="122">
        <v>4</v>
      </c>
      <c r="I912" s="123">
        <v>3900.1</v>
      </c>
      <c r="J912" s="123">
        <v>3632.2</v>
      </c>
      <c r="K912" s="123">
        <v>3566.5</v>
      </c>
      <c r="L912" s="124">
        <v>174</v>
      </c>
      <c r="M912" s="122" t="s">
        <v>272</v>
      </c>
      <c r="N912" s="122" t="s">
        <v>276</v>
      </c>
      <c r="O912" s="125" t="s">
        <v>1044</v>
      </c>
      <c r="P912" s="126">
        <v>4272967.33</v>
      </c>
      <c r="Q912" s="126">
        <v>0</v>
      </c>
      <c r="R912" s="126">
        <v>0</v>
      </c>
      <c r="S912" s="126">
        <f t="shared" si="327"/>
        <v>4272967.33</v>
      </c>
      <c r="T912" s="126">
        <f t="shared" si="328"/>
        <v>1095.6045562934285</v>
      </c>
      <c r="U912" s="126">
        <v>1661.1438681059458</v>
      </c>
    </row>
    <row r="913" spans="1:21" s="67" customFormat="1" ht="61.5" x14ac:dyDescent="0.9">
      <c r="A913" s="67">
        <v>1</v>
      </c>
      <c r="B913" s="118">
        <f>SUBTOTAL(103,$A$890:A913)</f>
        <v>24</v>
      </c>
      <c r="C913" s="115" t="s">
        <v>619</v>
      </c>
      <c r="D913" s="122" t="s">
        <v>389</v>
      </c>
      <c r="E913" s="127"/>
      <c r="F913" s="127" t="s">
        <v>321</v>
      </c>
      <c r="G913" s="122" t="s">
        <v>363</v>
      </c>
      <c r="H913" s="122">
        <v>4</v>
      </c>
      <c r="I913" s="123">
        <v>3861</v>
      </c>
      <c r="J913" s="123">
        <v>3604.2</v>
      </c>
      <c r="K913" s="123">
        <v>3552.1</v>
      </c>
      <c r="L913" s="124">
        <v>165</v>
      </c>
      <c r="M913" s="122" t="s">
        <v>272</v>
      </c>
      <c r="N913" s="122" t="s">
        <v>276</v>
      </c>
      <c r="O913" s="125" t="s">
        <v>1044</v>
      </c>
      <c r="P913" s="126">
        <v>4323303.57</v>
      </c>
      <c r="Q913" s="126">
        <v>0</v>
      </c>
      <c r="R913" s="126">
        <v>0</v>
      </c>
      <c r="S913" s="126">
        <f t="shared" si="327"/>
        <v>4323303.57</v>
      </c>
      <c r="T913" s="126">
        <f t="shared" si="328"/>
        <v>1119.7367443667445</v>
      </c>
      <c r="U913" s="126">
        <v>1697.1928179228178</v>
      </c>
    </row>
    <row r="914" spans="1:21" s="67" customFormat="1" ht="61.5" x14ac:dyDescent="0.9">
      <c r="A914" s="67">
        <v>1</v>
      </c>
      <c r="B914" s="118">
        <f>SUBTOTAL(103,$A$890:A914)</f>
        <v>25</v>
      </c>
      <c r="C914" s="115" t="s">
        <v>620</v>
      </c>
      <c r="D914" s="122" t="s">
        <v>390</v>
      </c>
      <c r="E914" s="127"/>
      <c r="F914" s="127" t="s">
        <v>274</v>
      </c>
      <c r="G914" s="122" t="s">
        <v>369</v>
      </c>
      <c r="H914" s="122">
        <v>1</v>
      </c>
      <c r="I914" s="123">
        <v>1800.4</v>
      </c>
      <c r="J914" s="123">
        <v>1643.1</v>
      </c>
      <c r="K914" s="123">
        <v>1043.0999999999999</v>
      </c>
      <c r="L914" s="124">
        <v>59</v>
      </c>
      <c r="M914" s="122" t="s">
        <v>272</v>
      </c>
      <c r="N914" s="122" t="s">
        <v>276</v>
      </c>
      <c r="O914" s="125" t="s">
        <v>1058</v>
      </c>
      <c r="P914" s="126">
        <v>2249559.61</v>
      </c>
      <c r="Q914" s="126">
        <v>0</v>
      </c>
      <c r="R914" s="126">
        <v>0</v>
      </c>
      <c r="S914" s="126">
        <f t="shared" si="327"/>
        <v>2249559.61</v>
      </c>
      <c r="T914" s="126">
        <f t="shared" si="328"/>
        <v>1249.4776771828481</v>
      </c>
      <c r="U914" s="126">
        <v>1305.0208898022661</v>
      </c>
    </row>
    <row r="915" spans="1:21" s="67" customFormat="1" ht="61.5" x14ac:dyDescent="0.9">
      <c r="A915" s="67">
        <v>1</v>
      </c>
      <c r="B915" s="118">
        <f>SUBTOTAL(103,$A$890:A915)</f>
        <v>26</v>
      </c>
      <c r="C915" s="115" t="s">
        <v>621</v>
      </c>
      <c r="D915" s="122">
        <v>1962</v>
      </c>
      <c r="E915" s="127"/>
      <c r="F915" s="127" t="s">
        <v>274</v>
      </c>
      <c r="G915" s="122">
        <v>5</v>
      </c>
      <c r="H915" s="122">
        <v>4</v>
      </c>
      <c r="I915" s="123">
        <v>4073.9</v>
      </c>
      <c r="J915" s="123">
        <v>3133.8</v>
      </c>
      <c r="K915" s="123">
        <v>2004.3</v>
      </c>
      <c r="L915" s="124">
        <v>154</v>
      </c>
      <c r="M915" s="122" t="s">
        <v>272</v>
      </c>
      <c r="N915" s="122" t="s">
        <v>276</v>
      </c>
      <c r="O915" s="125" t="s">
        <v>1046</v>
      </c>
      <c r="P915" s="126">
        <v>3899114.33</v>
      </c>
      <c r="Q915" s="126">
        <v>0</v>
      </c>
      <c r="R915" s="126">
        <v>0</v>
      </c>
      <c r="S915" s="126">
        <f t="shared" si="327"/>
        <v>3899114.33</v>
      </c>
      <c r="T915" s="126">
        <f t="shared" si="328"/>
        <v>957.09622965708536</v>
      </c>
      <c r="U915" s="126">
        <v>1398.1180392253123</v>
      </c>
    </row>
    <row r="916" spans="1:21" s="67" customFormat="1" ht="61.5" x14ac:dyDescent="0.9">
      <c r="A916" s="67">
        <v>1</v>
      </c>
      <c r="B916" s="118">
        <f>SUBTOTAL(103,$A$890:A916)</f>
        <v>27</v>
      </c>
      <c r="C916" s="115" t="s">
        <v>622</v>
      </c>
      <c r="D916" s="122" t="s">
        <v>386</v>
      </c>
      <c r="E916" s="127"/>
      <c r="F916" s="127" t="s">
        <v>321</v>
      </c>
      <c r="G916" s="122" t="s">
        <v>363</v>
      </c>
      <c r="H916" s="122">
        <v>6</v>
      </c>
      <c r="I916" s="123">
        <v>5192.3</v>
      </c>
      <c r="J916" s="123">
        <v>4680.5</v>
      </c>
      <c r="K916" s="123">
        <v>4680.5</v>
      </c>
      <c r="L916" s="124">
        <v>526</v>
      </c>
      <c r="M916" s="122" t="s">
        <v>272</v>
      </c>
      <c r="N916" s="122" t="s">
        <v>276</v>
      </c>
      <c r="O916" s="125" t="s">
        <v>1054</v>
      </c>
      <c r="P916" s="126">
        <v>5613232.8199999994</v>
      </c>
      <c r="Q916" s="126">
        <v>0</v>
      </c>
      <c r="R916" s="126">
        <v>0</v>
      </c>
      <c r="S916" s="126">
        <f t="shared" si="327"/>
        <v>5613232.8199999994</v>
      </c>
      <c r="T916" s="126">
        <f t="shared" si="328"/>
        <v>1081.0686632128343</v>
      </c>
      <c r="U916" s="126">
        <v>1567.7301261483349</v>
      </c>
    </row>
    <row r="917" spans="1:21" s="67" customFormat="1" ht="61.5" x14ac:dyDescent="0.9">
      <c r="A917" s="67">
        <v>1</v>
      </c>
      <c r="B917" s="118">
        <f>SUBTOTAL(103,$A$890:A917)</f>
        <v>28</v>
      </c>
      <c r="C917" s="115" t="s">
        <v>623</v>
      </c>
      <c r="D917" s="122" t="s">
        <v>391</v>
      </c>
      <c r="E917" s="127"/>
      <c r="F917" s="127" t="s">
        <v>321</v>
      </c>
      <c r="G917" s="122" t="s">
        <v>363</v>
      </c>
      <c r="H917" s="122">
        <v>4</v>
      </c>
      <c r="I917" s="123">
        <v>3507.7</v>
      </c>
      <c r="J917" s="123">
        <v>3166</v>
      </c>
      <c r="K917" s="123">
        <v>3166</v>
      </c>
      <c r="L917" s="124">
        <v>356</v>
      </c>
      <c r="M917" s="122" t="s">
        <v>272</v>
      </c>
      <c r="N917" s="122" t="s">
        <v>276</v>
      </c>
      <c r="O917" s="125" t="s">
        <v>1054</v>
      </c>
      <c r="P917" s="126">
        <v>3711978.26</v>
      </c>
      <c r="Q917" s="126">
        <v>0</v>
      </c>
      <c r="R917" s="126">
        <v>0</v>
      </c>
      <c r="S917" s="126">
        <f t="shared" si="327"/>
        <v>3711978.26</v>
      </c>
      <c r="T917" s="126">
        <f t="shared" si="328"/>
        <v>1058.2370955326853</v>
      </c>
      <c r="U917" s="126">
        <v>1551.072535849702</v>
      </c>
    </row>
    <row r="918" spans="1:21" s="67" customFormat="1" ht="61.5" x14ac:dyDescent="0.9">
      <c r="A918" s="67">
        <v>1</v>
      </c>
      <c r="B918" s="118">
        <f>SUBTOTAL(103,$A$890:A918)</f>
        <v>29</v>
      </c>
      <c r="C918" s="115" t="s">
        <v>624</v>
      </c>
      <c r="D918" s="122" t="s">
        <v>333</v>
      </c>
      <c r="E918" s="127"/>
      <c r="F918" s="127" t="s">
        <v>321</v>
      </c>
      <c r="G918" s="122" t="s">
        <v>363</v>
      </c>
      <c r="H918" s="122">
        <v>5</v>
      </c>
      <c r="I918" s="123">
        <v>5435.8</v>
      </c>
      <c r="J918" s="123">
        <v>3922.5</v>
      </c>
      <c r="K918" s="123">
        <v>3907.5</v>
      </c>
      <c r="L918" s="124">
        <v>160</v>
      </c>
      <c r="M918" s="122" t="s">
        <v>272</v>
      </c>
      <c r="N918" s="122" t="s">
        <v>276</v>
      </c>
      <c r="O918" s="125" t="s">
        <v>1044</v>
      </c>
      <c r="P918" s="126">
        <v>4866989.0200000005</v>
      </c>
      <c r="Q918" s="126">
        <v>0</v>
      </c>
      <c r="R918" s="126">
        <v>0</v>
      </c>
      <c r="S918" s="126">
        <f t="shared" si="327"/>
        <v>4866989.0200000005</v>
      </c>
      <c r="T918" s="126">
        <f t="shared" si="328"/>
        <v>895.3583685933994</v>
      </c>
      <c r="U918" s="126">
        <v>1302.5864903050149</v>
      </c>
    </row>
    <row r="919" spans="1:21" s="67" customFormat="1" ht="61.5" x14ac:dyDescent="0.9">
      <c r="A919" s="67">
        <v>1</v>
      </c>
      <c r="B919" s="118">
        <f>SUBTOTAL(103,$A$890:A919)</f>
        <v>30</v>
      </c>
      <c r="C919" s="115" t="s">
        <v>625</v>
      </c>
      <c r="D919" s="122" t="s">
        <v>372</v>
      </c>
      <c r="E919" s="127"/>
      <c r="F919" s="127" t="s">
        <v>321</v>
      </c>
      <c r="G919" s="122" t="s">
        <v>363</v>
      </c>
      <c r="H919" s="122">
        <v>4</v>
      </c>
      <c r="I919" s="123">
        <v>4425.6000000000004</v>
      </c>
      <c r="J919" s="123">
        <v>3128.2</v>
      </c>
      <c r="K919" s="123">
        <v>1799.3</v>
      </c>
      <c r="L919" s="124">
        <v>137</v>
      </c>
      <c r="M919" s="122" t="s">
        <v>272</v>
      </c>
      <c r="N919" s="122" t="s">
        <v>276</v>
      </c>
      <c r="O919" s="125" t="s">
        <v>1046</v>
      </c>
      <c r="P919" s="126">
        <v>3834609.35</v>
      </c>
      <c r="Q919" s="126">
        <v>0</v>
      </c>
      <c r="R919" s="126">
        <v>0</v>
      </c>
      <c r="S919" s="126">
        <f t="shared" si="327"/>
        <v>3834609.35</v>
      </c>
      <c r="T919" s="126">
        <f t="shared" si="328"/>
        <v>866.46089795733906</v>
      </c>
      <c r="U919" s="126">
        <v>1268.7116413593637</v>
      </c>
    </row>
    <row r="920" spans="1:21" s="67" customFormat="1" ht="61.5" x14ac:dyDescent="0.9">
      <c r="A920" s="67">
        <v>1</v>
      </c>
      <c r="B920" s="118">
        <f>SUBTOTAL(103,$A$890:A920)</f>
        <v>31</v>
      </c>
      <c r="C920" s="115" t="s">
        <v>626</v>
      </c>
      <c r="D920" s="122" t="s">
        <v>384</v>
      </c>
      <c r="E920" s="127"/>
      <c r="F920" s="127" t="s">
        <v>321</v>
      </c>
      <c r="G920" s="122" t="s">
        <v>363</v>
      </c>
      <c r="H920" s="122">
        <v>3</v>
      </c>
      <c r="I920" s="123">
        <v>2899.7</v>
      </c>
      <c r="J920" s="123">
        <v>2636.4</v>
      </c>
      <c r="K920" s="123">
        <v>2071.8000000000002</v>
      </c>
      <c r="L920" s="124">
        <v>83</v>
      </c>
      <c r="M920" s="122" t="s">
        <v>272</v>
      </c>
      <c r="N920" s="122" t="s">
        <v>276</v>
      </c>
      <c r="O920" s="125" t="s">
        <v>1044</v>
      </c>
      <c r="P920" s="126">
        <v>2834067.58</v>
      </c>
      <c r="Q920" s="126">
        <v>0</v>
      </c>
      <c r="R920" s="126">
        <v>0</v>
      </c>
      <c r="S920" s="126">
        <f t="shared" si="327"/>
        <v>2834067.58</v>
      </c>
      <c r="T920" s="126">
        <f t="shared" si="328"/>
        <v>977.36578956443782</v>
      </c>
      <c r="U920" s="126">
        <v>1446.4379953098596</v>
      </c>
    </row>
    <row r="921" spans="1:21" s="67" customFormat="1" ht="61.5" x14ac:dyDescent="0.9">
      <c r="A921" s="67">
        <v>1</v>
      </c>
      <c r="B921" s="118">
        <f>SUBTOTAL(103,$A$890:A921)</f>
        <v>32</v>
      </c>
      <c r="C921" s="115" t="s">
        <v>627</v>
      </c>
      <c r="D921" s="122">
        <v>1959</v>
      </c>
      <c r="E921" s="127"/>
      <c r="F921" s="127" t="s">
        <v>274</v>
      </c>
      <c r="G921" s="122">
        <v>5</v>
      </c>
      <c r="H921" s="122">
        <v>3</v>
      </c>
      <c r="I921" s="123">
        <v>5255.6</v>
      </c>
      <c r="J921" s="123">
        <v>3803.1</v>
      </c>
      <c r="K921" s="123">
        <v>2288.9</v>
      </c>
      <c r="L921" s="124">
        <v>136</v>
      </c>
      <c r="M921" s="122" t="s">
        <v>272</v>
      </c>
      <c r="N921" s="122" t="s">
        <v>276</v>
      </c>
      <c r="O921" s="125" t="s">
        <v>1046</v>
      </c>
      <c r="P921" s="126">
        <v>6697616.7399999993</v>
      </c>
      <c r="Q921" s="126">
        <v>0</v>
      </c>
      <c r="R921" s="126">
        <v>0</v>
      </c>
      <c r="S921" s="126">
        <f t="shared" si="327"/>
        <v>6697616.7399999993</v>
      </c>
      <c r="T921" s="126">
        <f t="shared" si="328"/>
        <v>1274.3771862394397</v>
      </c>
      <c r="U921" s="126">
        <v>1858.0525135093992</v>
      </c>
    </row>
    <row r="922" spans="1:21" s="67" customFormat="1" ht="61.5" x14ac:dyDescent="0.9">
      <c r="A922" s="67">
        <v>1</v>
      </c>
      <c r="B922" s="118">
        <f>SUBTOTAL(103,$A$890:A922)</f>
        <v>33</v>
      </c>
      <c r="C922" s="115" t="s">
        <v>628</v>
      </c>
      <c r="D922" s="122" t="s">
        <v>373</v>
      </c>
      <c r="E922" s="127"/>
      <c r="F922" s="127" t="s">
        <v>274</v>
      </c>
      <c r="G922" s="122" t="s">
        <v>363</v>
      </c>
      <c r="H922" s="122">
        <v>3</v>
      </c>
      <c r="I922" s="123">
        <v>2923.9</v>
      </c>
      <c r="J922" s="123">
        <v>2704.4</v>
      </c>
      <c r="K922" s="123">
        <v>1930.7</v>
      </c>
      <c r="L922" s="124">
        <v>105</v>
      </c>
      <c r="M922" s="122" t="s">
        <v>272</v>
      </c>
      <c r="N922" s="122" t="s">
        <v>276</v>
      </c>
      <c r="O922" s="125" t="s">
        <v>1069</v>
      </c>
      <c r="P922" s="126">
        <v>5163885</v>
      </c>
      <c r="Q922" s="126">
        <v>0</v>
      </c>
      <c r="R922" s="126">
        <v>0</v>
      </c>
      <c r="S922" s="126">
        <f t="shared" si="327"/>
        <v>5163885</v>
      </c>
      <c r="T922" s="126">
        <f t="shared" si="328"/>
        <v>1766.0949416874721</v>
      </c>
      <c r="U922" s="126">
        <v>3960.6095420500014</v>
      </c>
    </row>
    <row r="923" spans="1:21" s="67" customFormat="1" ht="61.5" x14ac:dyDescent="0.9">
      <c r="A923" s="67">
        <v>1</v>
      </c>
      <c r="B923" s="118">
        <f>SUBTOTAL(103,$A$890:A923)</f>
        <v>34</v>
      </c>
      <c r="C923" s="115" t="s">
        <v>629</v>
      </c>
      <c r="D923" s="122" t="s">
        <v>323</v>
      </c>
      <c r="E923" s="127"/>
      <c r="F923" s="127" t="s">
        <v>321</v>
      </c>
      <c r="G923" s="122" t="s">
        <v>363</v>
      </c>
      <c r="H923" s="122">
        <v>5</v>
      </c>
      <c r="I923" s="123">
        <v>3950.7</v>
      </c>
      <c r="J923" s="123">
        <v>3460</v>
      </c>
      <c r="K923" s="123">
        <v>3460</v>
      </c>
      <c r="L923" s="124">
        <v>133</v>
      </c>
      <c r="M923" s="122" t="s">
        <v>272</v>
      </c>
      <c r="N923" s="122" t="s">
        <v>276</v>
      </c>
      <c r="O923" s="125" t="s">
        <v>1050</v>
      </c>
      <c r="P923" s="126">
        <v>4343671.0699999994</v>
      </c>
      <c r="Q923" s="126">
        <v>0</v>
      </c>
      <c r="R923" s="126">
        <v>0</v>
      </c>
      <c r="S923" s="126">
        <f t="shared" si="327"/>
        <v>4343671.0699999994</v>
      </c>
      <c r="T923" s="126">
        <f t="shared" si="328"/>
        <v>1099.4687194674361</v>
      </c>
      <c r="U923" s="126">
        <v>1604.1668785278559</v>
      </c>
    </row>
    <row r="924" spans="1:21" s="67" customFormat="1" ht="61.5" x14ac:dyDescent="0.9">
      <c r="A924" s="67">
        <v>1</v>
      </c>
      <c r="B924" s="118">
        <f>SUBTOTAL(103,$A$890:A924)</f>
        <v>35</v>
      </c>
      <c r="C924" s="115" t="s">
        <v>630</v>
      </c>
      <c r="D924" s="122" t="s">
        <v>320</v>
      </c>
      <c r="E924" s="127"/>
      <c r="F924" s="127" t="s">
        <v>274</v>
      </c>
      <c r="G924" s="122" t="s">
        <v>363</v>
      </c>
      <c r="H924" s="122">
        <v>4</v>
      </c>
      <c r="I924" s="123">
        <v>3048.2</v>
      </c>
      <c r="J924" s="123">
        <v>2288.5</v>
      </c>
      <c r="K924" s="123">
        <v>2288.5</v>
      </c>
      <c r="L924" s="124">
        <v>98</v>
      </c>
      <c r="M924" s="122" t="s">
        <v>272</v>
      </c>
      <c r="N924" s="122" t="s">
        <v>276</v>
      </c>
      <c r="O924" s="125" t="s">
        <v>856</v>
      </c>
      <c r="P924" s="126">
        <v>2694844.11</v>
      </c>
      <c r="Q924" s="126">
        <v>0</v>
      </c>
      <c r="R924" s="126">
        <v>0</v>
      </c>
      <c r="S924" s="126">
        <f t="shared" si="327"/>
        <v>2694844.11</v>
      </c>
      <c r="T924" s="126">
        <f t="shared" si="328"/>
        <v>884.07719637819037</v>
      </c>
      <c r="U924" s="126">
        <v>1301.8040679745422</v>
      </c>
    </row>
    <row r="925" spans="1:21" s="67" customFormat="1" ht="61.5" x14ac:dyDescent="0.9">
      <c r="A925" s="67">
        <v>1</v>
      </c>
      <c r="B925" s="118">
        <f>SUBTOTAL(103,$A$890:A925)</f>
        <v>36</v>
      </c>
      <c r="C925" s="115" t="s">
        <v>631</v>
      </c>
      <c r="D925" s="122">
        <v>1961</v>
      </c>
      <c r="E925" s="127"/>
      <c r="F925" s="127" t="s">
        <v>274</v>
      </c>
      <c r="G925" s="122">
        <v>5</v>
      </c>
      <c r="H925" s="122">
        <v>2</v>
      </c>
      <c r="I925" s="123">
        <v>1703.9</v>
      </c>
      <c r="J925" s="123">
        <v>1558.5</v>
      </c>
      <c r="K925" s="123">
        <v>1516.4</v>
      </c>
      <c r="L925" s="124">
        <v>58</v>
      </c>
      <c r="M925" s="122" t="s">
        <v>272</v>
      </c>
      <c r="N925" s="122" t="s">
        <v>276</v>
      </c>
      <c r="O925" s="125" t="s">
        <v>360</v>
      </c>
      <c r="P925" s="126">
        <v>4820291</v>
      </c>
      <c r="Q925" s="126">
        <v>0</v>
      </c>
      <c r="R925" s="126">
        <v>0</v>
      </c>
      <c r="S925" s="126">
        <f t="shared" si="327"/>
        <v>4820291</v>
      </c>
      <c r="T925" s="126">
        <f t="shared" si="328"/>
        <v>2828.9752919772286</v>
      </c>
      <c r="U925" s="126">
        <v>6305.2758377839073</v>
      </c>
    </row>
    <row r="926" spans="1:21" s="67" customFormat="1" ht="61.5" x14ac:dyDescent="0.9">
      <c r="A926" s="67">
        <v>1</v>
      </c>
      <c r="B926" s="118">
        <f>SUBTOTAL(103,$A$890:A926)</f>
        <v>37</v>
      </c>
      <c r="C926" s="115" t="s">
        <v>632</v>
      </c>
      <c r="D926" s="122" t="s">
        <v>392</v>
      </c>
      <c r="E926" s="127"/>
      <c r="F926" s="127" t="s">
        <v>321</v>
      </c>
      <c r="G926" s="122" t="s">
        <v>363</v>
      </c>
      <c r="H926" s="122">
        <v>3</v>
      </c>
      <c r="I926" s="123">
        <v>2812.6</v>
      </c>
      <c r="J926" s="123">
        <v>1169.5</v>
      </c>
      <c r="K926" s="123">
        <v>1169.5</v>
      </c>
      <c r="L926" s="124">
        <v>91</v>
      </c>
      <c r="M926" s="122" t="s">
        <v>272</v>
      </c>
      <c r="N926" s="122" t="s">
        <v>276</v>
      </c>
      <c r="O926" s="125" t="s">
        <v>1056</v>
      </c>
      <c r="P926" s="126">
        <v>2571262.73</v>
      </c>
      <c r="Q926" s="126">
        <v>0</v>
      </c>
      <c r="R926" s="126">
        <v>0</v>
      </c>
      <c r="S926" s="126">
        <f t="shared" si="327"/>
        <v>2571262.73</v>
      </c>
      <c r="T926" s="126">
        <f t="shared" si="328"/>
        <v>914.19424376022187</v>
      </c>
      <c r="U926" s="126">
        <v>1348.4663087534666</v>
      </c>
    </row>
    <row r="927" spans="1:21" s="67" customFormat="1" ht="61.5" x14ac:dyDescent="0.9">
      <c r="A927" s="67">
        <v>1</v>
      </c>
      <c r="B927" s="118">
        <f>SUBTOTAL(103,$A$890:A927)</f>
        <v>38</v>
      </c>
      <c r="C927" s="115" t="s">
        <v>633</v>
      </c>
      <c r="D927" s="122">
        <v>1972</v>
      </c>
      <c r="E927" s="127"/>
      <c r="F927" s="127" t="s">
        <v>274</v>
      </c>
      <c r="G927" s="122">
        <v>9</v>
      </c>
      <c r="H927" s="122">
        <v>1</v>
      </c>
      <c r="I927" s="123">
        <v>1896.4</v>
      </c>
      <c r="J927" s="123">
        <v>1896.4</v>
      </c>
      <c r="K927" s="123">
        <v>1859.1</v>
      </c>
      <c r="L927" s="124">
        <v>135</v>
      </c>
      <c r="M927" s="122" t="s">
        <v>272</v>
      </c>
      <c r="N927" s="122" t="s">
        <v>276</v>
      </c>
      <c r="O927" s="125" t="s">
        <v>359</v>
      </c>
      <c r="P927" s="126">
        <v>1989100.53</v>
      </c>
      <c r="Q927" s="126">
        <v>0</v>
      </c>
      <c r="R927" s="126">
        <v>0</v>
      </c>
      <c r="S927" s="126">
        <f t="shared" si="327"/>
        <v>1989100.53</v>
      </c>
      <c r="T927" s="126">
        <f t="shared" si="328"/>
        <v>1048.8823718624762</v>
      </c>
      <c r="U927" s="126">
        <v>1423.4486395275258</v>
      </c>
    </row>
    <row r="928" spans="1:21" s="67" customFormat="1" ht="61.5" x14ac:dyDescent="0.9">
      <c r="A928" s="67">
        <v>1</v>
      </c>
      <c r="B928" s="118">
        <f>SUBTOTAL(103,$A$890:A928)</f>
        <v>39</v>
      </c>
      <c r="C928" s="115" t="s">
        <v>634</v>
      </c>
      <c r="D928" s="122" t="s">
        <v>326</v>
      </c>
      <c r="E928" s="127"/>
      <c r="F928" s="127" t="s">
        <v>321</v>
      </c>
      <c r="G928" s="122" t="s">
        <v>363</v>
      </c>
      <c r="H928" s="122">
        <v>4</v>
      </c>
      <c r="I928" s="123">
        <v>3873.3</v>
      </c>
      <c r="J928" s="123">
        <v>3605.48</v>
      </c>
      <c r="K928" s="123">
        <v>3540.2</v>
      </c>
      <c r="L928" s="124">
        <v>165</v>
      </c>
      <c r="M928" s="122" t="s">
        <v>272</v>
      </c>
      <c r="N928" s="122" t="s">
        <v>276</v>
      </c>
      <c r="O928" s="125" t="s">
        <v>1044</v>
      </c>
      <c r="P928" s="126">
        <v>4272967.33</v>
      </c>
      <c r="Q928" s="126">
        <v>0</v>
      </c>
      <c r="R928" s="126">
        <v>0</v>
      </c>
      <c r="S928" s="126">
        <f t="shared" si="327"/>
        <v>4272967.33</v>
      </c>
      <c r="T928" s="126">
        <f t="shared" si="328"/>
        <v>1103.1852244855806</v>
      </c>
      <c r="U928" s="126">
        <v>1672.637595848501</v>
      </c>
    </row>
    <row r="929" spans="1:21" s="67" customFormat="1" ht="61.5" x14ac:dyDescent="0.9">
      <c r="A929" s="67">
        <v>1</v>
      </c>
      <c r="B929" s="118">
        <f>SUBTOTAL(103,$A$890:A929)</f>
        <v>40</v>
      </c>
      <c r="C929" s="115" t="s">
        <v>635</v>
      </c>
      <c r="D929" s="122" t="s">
        <v>393</v>
      </c>
      <c r="E929" s="127"/>
      <c r="F929" s="127" t="s">
        <v>321</v>
      </c>
      <c r="G929" s="122" t="s">
        <v>363</v>
      </c>
      <c r="H929" s="122">
        <v>4</v>
      </c>
      <c r="I929" s="123">
        <v>3881.3</v>
      </c>
      <c r="J929" s="123">
        <v>3615.9</v>
      </c>
      <c r="K929" s="123">
        <v>3551.2</v>
      </c>
      <c r="L929" s="124">
        <v>182</v>
      </c>
      <c r="M929" s="122" t="s">
        <v>272</v>
      </c>
      <c r="N929" s="122" t="s">
        <v>276</v>
      </c>
      <c r="O929" s="125" t="s">
        <v>1044</v>
      </c>
      <c r="P929" s="126">
        <v>4272967.33</v>
      </c>
      <c r="Q929" s="126">
        <v>0</v>
      </c>
      <c r="R929" s="126">
        <v>0</v>
      </c>
      <c r="S929" s="126">
        <f t="shared" si="327"/>
        <v>4272967.33</v>
      </c>
      <c r="T929" s="126">
        <f t="shared" si="328"/>
        <v>1100.9113776312061</v>
      </c>
      <c r="U929" s="126">
        <v>1669.1900136552183</v>
      </c>
    </row>
    <row r="930" spans="1:21" s="67" customFormat="1" ht="61.5" x14ac:dyDescent="0.9">
      <c r="A930" s="67">
        <v>1</v>
      </c>
      <c r="B930" s="118">
        <f>SUBTOTAL(103,$A$890:A930)</f>
        <v>41</v>
      </c>
      <c r="C930" s="115" t="s">
        <v>636</v>
      </c>
      <c r="D930" s="122" t="s">
        <v>362</v>
      </c>
      <c r="E930" s="127"/>
      <c r="F930" s="127" t="s">
        <v>274</v>
      </c>
      <c r="G930" s="122" t="s">
        <v>369</v>
      </c>
      <c r="H930" s="122">
        <v>1</v>
      </c>
      <c r="I930" s="123">
        <v>2154.4</v>
      </c>
      <c r="J930" s="123">
        <v>1835.8</v>
      </c>
      <c r="K930" s="123">
        <v>1783.4</v>
      </c>
      <c r="L930" s="124">
        <v>76</v>
      </c>
      <c r="M930" s="122" t="s">
        <v>272</v>
      </c>
      <c r="N930" s="122" t="s">
        <v>276</v>
      </c>
      <c r="O930" s="125" t="s">
        <v>856</v>
      </c>
      <c r="P930" s="126">
        <v>1633943.5899999999</v>
      </c>
      <c r="Q930" s="126">
        <v>0</v>
      </c>
      <c r="R930" s="126">
        <v>0</v>
      </c>
      <c r="S930" s="126">
        <f t="shared" si="327"/>
        <v>1633943.5899999999</v>
      </c>
      <c r="T930" s="126">
        <f t="shared" si="328"/>
        <v>758.42164407723715</v>
      </c>
      <c r="U930" s="126">
        <v>1142.721099145934</v>
      </c>
    </row>
    <row r="931" spans="1:21" s="67" customFormat="1" ht="61.5" x14ac:dyDescent="0.9">
      <c r="A931" s="67">
        <v>1</v>
      </c>
      <c r="B931" s="118">
        <f>SUBTOTAL(103,$A$890:A931)</f>
        <v>42</v>
      </c>
      <c r="C931" s="115" t="s">
        <v>637</v>
      </c>
      <c r="D931" s="122" t="s">
        <v>394</v>
      </c>
      <c r="E931" s="127"/>
      <c r="F931" s="127" t="s">
        <v>321</v>
      </c>
      <c r="G931" s="122" t="s">
        <v>363</v>
      </c>
      <c r="H931" s="122">
        <v>4</v>
      </c>
      <c r="I931" s="123">
        <v>3888.9</v>
      </c>
      <c r="J931" s="123">
        <v>3557.1</v>
      </c>
      <c r="K931" s="123">
        <v>3511.4</v>
      </c>
      <c r="L931" s="124">
        <v>169</v>
      </c>
      <c r="M931" s="122" t="s">
        <v>272</v>
      </c>
      <c r="N931" s="122" t="s">
        <v>276</v>
      </c>
      <c r="O931" s="125" t="s">
        <v>1044</v>
      </c>
      <c r="P931" s="126">
        <v>4272967.33</v>
      </c>
      <c r="Q931" s="126">
        <v>0</v>
      </c>
      <c r="R931" s="126">
        <v>0</v>
      </c>
      <c r="S931" s="126">
        <f t="shared" si="327"/>
        <v>4272967.33</v>
      </c>
      <c r="T931" s="126">
        <f t="shared" si="328"/>
        <v>1098.7598884003189</v>
      </c>
      <c r="U931" s="126">
        <v>1665.927948777289</v>
      </c>
    </row>
    <row r="932" spans="1:21" s="67" customFormat="1" ht="61.5" x14ac:dyDescent="0.9">
      <c r="A932" s="67">
        <v>1</v>
      </c>
      <c r="B932" s="118">
        <f>SUBTOTAL(103,$A$890:A932)</f>
        <v>43</v>
      </c>
      <c r="C932" s="115" t="s">
        <v>638</v>
      </c>
      <c r="D932" s="122" t="s">
        <v>394</v>
      </c>
      <c r="E932" s="127"/>
      <c r="F932" s="127" t="s">
        <v>321</v>
      </c>
      <c r="G932" s="122" t="s">
        <v>363</v>
      </c>
      <c r="H932" s="122">
        <v>4</v>
      </c>
      <c r="I932" s="123">
        <v>3854.3</v>
      </c>
      <c r="J932" s="123">
        <v>3599.34</v>
      </c>
      <c r="K932" s="123">
        <v>3550.2</v>
      </c>
      <c r="L932" s="124">
        <v>173</v>
      </c>
      <c r="M932" s="122" t="s">
        <v>272</v>
      </c>
      <c r="N932" s="122" t="s">
        <v>276</v>
      </c>
      <c r="O932" s="125" t="s">
        <v>1044</v>
      </c>
      <c r="P932" s="126">
        <v>4272967.33</v>
      </c>
      <c r="Q932" s="126">
        <v>0</v>
      </c>
      <c r="R932" s="126">
        <v>0</v>
      </c>
      <c r="S932" s="126">
        <f t="shared" si="327"/>
        <v>4272967.33</v>
      </c>
      <c r="T932" s="126">
        <f t="shared" si="328"/>
        <v>1108.6234413512182</v>
      </c>
      <c r="U932" s="126">
        <v>1680.8829618867237</v>
      </c>
    </row>
    <row r="933" spans="1:21" s="67" customFormat="1" ht="61.5" x14ac:dyDescent="0.9">
      <c r="A933" s="67">
        <v>1</v>
      </c>
      <c r="B933" s="118">
        <f>SUBTOTAL(103,$A$890:A933)</f>
        <v>44</v>
      </c>
      <c r="C933" s="115" t="s">
        <v>639</v>
      </c>
      <c r="D933" s="122" t="s">
        <v>388</v>
      </c>
      <c r="E933" s="127"/>
      <c r="F933" s="127" t="s">
        <v>274</v>
      </c>
      <c r="G933" s="122" t="s">
        <v>363</v>
      </c>
      <c r="H933" s="122">
        <v>3</v>
      </c>
      <c r="I933" s="123">
        <v>2600.9</v>
      </c>
      <c r="J933" s="123">
        <v>2217.3000000000002</v>
      </c>
      <c r="K933" s="123">
        <v>2217.3000000000002</v>
      </c>
      <c r="L933" s="124">
        <v>72</v>
      </c>
      <c r="M933" s="122" t="s">
        <v>272</v>
      </c>
      <c r="N933" s="122" t="s">
        <v>276</v>
      </c>
      <c r="O933" s="125" t="s">
        <v>1048</v>
      </c>
      <c r="P933" s="126">
        <v>3064601.1799999997</v>
      </c>
      <c r="Q933" s="126">
        <v>0</v>
      </c>
      <c r="R933" s="126">
        <v>0</v>
      </c>
      <c r="S933" s="126">
        <f t="shared" si="327"/>
        <v>3064601.1799999997</v>
      </c>
      <c r="T933" s="126">
        <f t="shared" si="328"/>
        <v>1178.2848936906453</v>
      </c>
      <c r="U933" s="126">
        <v>1738.4528047983388</v>
      </c>
    </row>
    <row r="934" spans="1:21" s="67" customFormat="1" ht="61.5" x14ac:dyDescent="0.9">
      <c r="A934" s="67">
        <v>1</v>
      </c>
      <c r="B934" s="118">
        <f>SUBTOTAL(103,$A$890:A934)</f>
        <v>45</v>
      </c>
      <c r="C934" s="115" t="s">
        <v>640</v>
      </c>
      <c r="D934" s="122" t="s">
        <v>383</v>
      </c>
      <c r="E934" s="127"/>
      <c r="F934" s="127" t="s">
        <v>274</v>
      </c>
      <c r="G934" s="122" t="s">
        <v>363</v>
      </c>
      <c r="H934" s="122">
        <v>1</v>
      </c>
      <c r="I934" s="123">
        <v>1129.8</v>
      </c>
      <c r="J934" s="123">
        <v>1033.3</v>
      </c>
      <c r="K934" s="123">
        <v>841.7</v>
      </c>
      <c r="L934" s="124">
        <v>41</v>
      </c>
      <c r="M934" s="122" t="s">
        <v>272</v>
      </c>
      <c r="N934" s="122" t="s">
        <v>276</v>
      </c>
      <c r="O934" s="125" t="s">
        <v>360</v>
      </c>
      <c r="P934" s="126">
        <v>1046986.94</v>
      </c>
      <c r="Q934" s="126">
        <v>0</v>
      </c>
      <c r="R934" s="126">
        <v>0</v>
      </c>
      <c r="S934" s="126">
        <f t="shared" si="327"/>
        <v>1046986.94</v>
      </c>
      <c r="T934" s="126">
        <f t="shared" si="328"/>
        <v>926.70113294388386</v>
      </c>
      <c r="U934" s="126">
        <v>1403.712117188883</v>
      </c>
    </row>
    <row r="935" spans="1:21" s="67" customFormat="1" ht="61.5" x14ac:dyDescent="0.9">
      <c r="A935" s="67">
        <v>1</v>
      </c>
      <c r="B935" s="118">
        <f>SUBTOTAL(103,$A$890:A935)</f>
        <v>46</v>
      </c>
      <c r="C935" s="115" t="s">
        <v>641</v>
      </c>
      <c r="D935" s="122" t="s">
        <v>319</v>
      </c>
      <c r="E935" s="127"/>
      <c r="F935" s="127" t="s">
        <v>321</v>
      </c>
      <c r="G935" s="122" t="s">
        <v>363</v>
      </c>
      <c r="H935" s="122">
        <v>4</v>
      </c>
      <c r="I935" s="123">
        <v>4027.5</v>
      </c>
      <c r="J935" s="123">
        <v>3035.5</v>
      </c>
      <c r="K935" s="123">
        <v>3037.2</v>
      </c>
      <c r="L935" s="124">
        <v>135</v>
      </c>
      <c r="M935" s="122" t="s">
        <v>272</v>
      </c>
      <c r="N935" s="122" t="s">
        <v>276</v>
      </c>
      <c r="O935" s="125" t="s">
        <v>1045</v>
      </c>
      <c r="P935" s="126">
        <v>3516149.44</v>
      </c>
      <c r="Q935" s="126">
        <v>0</v>
      </c>
      <c r="R935" s="126">
        <v>0</v>
      </c>
      <c r="S935" s="126">
        <f t="shared" si="327"/>
        <v>3516149.44</v>
      </c>
      <c r="T935" s="126">
        <f t="shared" si="328"/>
        <v>873.03524270639355</v>
      </c>
      <c r="U935" s="126">
        <v>1281.8512849162012</v>
      </c>
    </row>
    <row r="936" spans="1:21" s="67" customFormat="1" ht="61.5" x14ac:dyDescent="0.9">
      <c r="A936" s="67">
        <v>1</v>
      </c>
      <c r="B936" s="118">
        <f>SUBTOTAL(103,$A$890:A936)</f>
        <v>47</v>
      </c>
      <c r="C936" s="115" t="s">
        <v>642</v>
      </c>
      <c r="D936" s="122" t="s">
        <v>319</v>
      </c>
      <c r="E936" s="127"/>
      <c r="F936" s="127" t="s">
        <v>321</v>
      </c>
      <c r="G936" s="122" t="s">
        <v>363</v>
      </c>
      <c r="H936" s="122">
        <v>4</v>
      </c>
      <c r="I936" s="123">
        <v>4003.9</v>
      </c>
      <c r="J936" s="123">
        <v>3006.9</v>
      </c>
      <c r="K936" s="123">
        <v>2831.8</v>
      </c>
      <c r="L936" s="124">
        <v>130</v>
      </c>
      <c r="M936" s="122" t="s">
        <v>272</v>
      </c>
      <c r="N936" s="122" t="s">
        <v>276</v>
      </c>
      <c r="O936" s="125" t="s">
        <v>1045</v>
      </c>
      <c r="P936" s="126">
        <v>3493334.35</v>
      </c>
      <c r="Q936" s="126">
        <v>0</v>
      </c>
      <c r="R936" s="126">
        <v>0</v>
      </c>
      <c r="S936" s="126">
        <f t="shared" si="327"/>
        <v>3493334.35</v>
      </c>
      <c r="T936" s="126">
        <f t="shared" si="328"/>
        <v>872.48291665626016</v>
      </c>
      <c r="U936" s="126">
        <v>1281.3164449661579</v>
      </c>
    </row>
    <row r="937" spans="1:21" s="67" customFormat="1" ht="61.5" x14ac:dyDescent="0.9">
      <c r="A937" s="67">
        <v>1</v>
      </c>
      <c r="B937" s="118">
        <f>SUBTOTAL(103,$A$890:A937)</f>
        <v>48</v>
      </c>
      <c r="C937" s="115" t="s">
        <v>643</v>
      </c>
      <c r="D937" s="122" t="s">
        <v>323</v>
      </c>
      <c r="E937" s="127"/>
      <c r="F937" s="127" t="s">
        <v>321</v>
      </c>
      <c r="G937" s="122" t="s">
        <v>369</v>
      </c>
      <c r="H937" s="122">
        <v>2</v>
      </c>
      <c r="I937" s="123">
        <v>4844.7</v>
      </c>
      <c r="J937" s="123">
        <v>3843.1</v>
      </c>
      <c r="K937" s="123">
        <v>3763.6</v>
      </c>
      <c r="L937" s="124">
        <v>150</v>
      </c>
      <c r="M937" s="122" t="s">
        <v>272</v>
      </c>
      <c r="N937" s="122" t="s">
        <v>276</v>
      </c>
      <c r="O937" s="125" t="s">
        <v>1045</v>
      </c>
      <c r="P937" s="126">
        <v>2597653.14</v>
      </c>
      <c r="Q937" s="126">
        <v>0</v>
      </c>
      <c r="R937" s="126">
        <v>0</v>
      </c>
      <c r="S937" s="126">
        <f t="shared" si="327"/>
        <v>2597653.14</v>
      </c>
      <c r="T937" s="126">
        <f t="shared" si="328"/>
        <v>536.1845191652734</v>
      </c>
      <c r="U937" s="126">
        <v>796.4502204883687</v>
      </c>
    </row>
    <row r="938" spans="1:21" s="67" customFormat="1" ht="61.5" x14ac:dyDescent="0.9">
      <c r="A938" s="67">
        <v>1</v>
      </c>
      <c r="B938" s="118">
        <f>SUBTOTAL(103,$A$890:A938)</f>
        <v>49</v>
      </c>
      <c r="C938" s="115" t="s">
        <v>1489</v>
      </c>
      <c r="D938" s="122">
        <v>1976</v>
      </c>
      <c r="E938" s="127"/>
      <c r="F938" s="127" t="s">
        <v>274</v>
      </c>
      <c r="G938" s="122">
        <v>5</v>
      </c>
      <c r="H938" s="122">
        <v>10</v>
      </c>
      <c r="I938" s="123">
        <v>8213.9</v>
      </c>
      <c r="J938" s="123">
        <v>7350.9</v>
      </c>
      <c r="K938" s="123">
        <v>6661.1</v>
      </c>
      <c r="L938" s="124">
        <v>418</v>
      </c>
      <c r="M938" s="122" t="s">
        <v>272</v>
      </c>
      <c r="N938" s="122" t="s">
        <v>276</v>
      </c>
      <c r="O938" s="125" t="s">
        <v>1507</v>
      </c>
      <c r="P938" s="126">
        <v>7840331.7599999998</v>
      </c>
      <c r="Q938" s="126">
        <v>0</v>
      </c>
      <c r="R938" s="126">
        <v>0</v>
      </c>
      <c r="S938" s="126">
        <f t="shared" si="327"/>
        <v>7840331.7599999998</v>
      </c>
      <c r="T938" s="126">
        <f t="shared" si="328"/>
        <v>954.51999172135038</v>
      </c>
      <c r="U938" s="126">
        <v>1471.07</v>
      </c>
    </row>
    <row r="939" spans="1:21" s="67" customFormat="1" ht="61.5" x14ac:dyDescent="0.9">
      <c r="A939" s="67">
        <v>1</v>
      </c>
      <c r="B939" s="118">
        <f>SUBTOTAL(103,$A$890:A939)</f>
        <v>50</v>
      </c>
      <c r="C939" s="115" t="s">
        <v>644</v>
      </c>
      <c r="D939" s="122" t="s">
        <v>339</v>
      </c>
      <c r="E939" s="127"/>
      <c r="F939" s="127" t="s">
        <v>274</v>
      </c>
      <c r="G939" s="122" t="s">
        <v>378</v>
      </c>
      <c r="H939" s="122">
        <v>3</v>
      </c>
      <c r="I939" s="123">
        <v>3521.2</v>
      </c>
      <c r="J939" s="123">
        <v>3000</v>
      </c>
      <c r="K939" s="123">
        <v>2890.8</v>
      </c>
      <c r="L939" s="124">
        <v>100</v>
      </c>
      <c r="M939" s="122" t="s">
        <v>272</v>
      </c>
      <c r="N939" s="122" t="s">
        <v>305</v>
      </c>
      <c r="O939" s="125" t="s">
        <v>395</v>
      </c>
      <c r="P939" s="126">
        <v>6342333</v>
      </c>
      <c r="Q939" s="126">
        <v>0</v>
      </c>
      <c r="R939" s="126">
        <v>0</v>
      </c>
      <c r="S939" s="126">
        <f t="shared" si="327"/>
        <v>6342333</v>
      </c>
      <c r="T939" s="126">
        <f t="shared" si="328"/>
        <v>1801.1851073497671</v>
      </c>
      <c r="U939" s="126">
        <v>2074.5615131205273</v>
      </c>
    </row>
    <row r="940" spans="1:21" s="67" customFormat="1" ht="61.5" x14ac:dyDescent="0.9">
      <c r="A940" s="67">
        <v>1</v>
      </c>
      <c r="B940" s="118">
        <f>SUBTOTAL(103,$A$890:A940)</f>
        <v>51</v>
      </c>
      <c r="C940" s="115" t="s">
        <v>645</v>
      </c>
      <c r="D940" s="122" t="s">
        <v>333</v>
      </c>
      <c r="E940" s="127"/>
      <c r="F940" s="127" t="s">
        <v>321</v>
      </c>
      <c r="G940" s="122" t="s">
        <v>363</v>
      </c>
      <c r="H940" s="122">
        <v>4</v>
      </c>
      <c r="I940" s="123">
        <v>4258.1000000000004</v>
      </c>
      <c r="J940" s="123">
        <v>3136.3</v>
      </c>
      <c r="K940" s="123">
        <v>1795.5</v>
      </c>
      <c r="L940" s="124">
        <v>159</v>
      </c>
      <c r="M940" s="122" t="s">
        <v>272</v>
      </c>
      <c r="N940" s="122" t="s">
        <v>276</v>
      </c>
      <c r="O940" s="125" t="s">
        <v>1070</v>
      </c>
      <c r="P940" s="126">
        <v>4404985.5199999996</v>
      </c>
      <c r="Q940" s="126">
        <v>0</v>
      </c>
      <c r="R940" s="126">
        <v>0</v>
      </c>
      <c r="S940" s="126">
        <f t="shared" si="327"/>
        <v>4404985.5199999996</v>
      </c>
      <c r="T940" s="126">
        <f t="shared" si="328"/>
        <v>1034.4955543552287</v>
      </c>
      <c r="U940" s="126">
        <v>1508.8040769357224</v>
      </c>
    </row>
    <row r="941" spans="1:21" s="67" customFormat="1" ht="61.5" x14ac:dyDescent="0.9">
      <c r="A941" s="67">
        <v>1</v>
      </c>
      <c r="B941" s="118">
        <f>SUBTOTAL(103,$A$890:A941)</f>
        <v>52</v>
      </c>
      <c r="C941" s="115" t="s">
        <v>646</v>
      </c>
      <c r="D941" s="122" t="s">
        <v>396</v>
      </c>
      <c r="E941" s="127"/>
      <c r="F941" s="127" t="s">
        <v>321</v>
      </c>
      <c r="G941" s="122" t="s">
        <v>363</v>
      </c>
      <c r="H941" s="122">
        <v>5</v>
      </c>
      <c r="I941" s="123">
        <v>7097.9</v>
      </c>
      <c r="J941" s="123">
        <v>6283.6</v>
      </c>
      <c r="K941" s="123">
        <v>3449.7</v>
      </c>
      <c r="L941" s="124">
        <v>347</v>
      </c>
      <c r="M941" s="122" t="s">
        <v>272</v>
      </c>
      <c r="N941" s="122" t="s">
        <v>276</v>
      </c>
      <c r="O941" s="125" t="s">
        <v>1071</v>
      </c>
      <c r="P941" s="126">
        <v>7371186.2199999997</v>
      </c>
      <c r="Q941" s="126">
        <v>0</v>
      </c>
      <c r="R941" s="126">
        <v>0</v>
      </c>
      <c r="S941" s="126">
        <f t="shared" si="327"/>
        <v>7371186.2199999997</v>
      </c>
      <c r="T941" s="126">
        <f t="shared" si="328"/>
        <v>1038.5024049366714</v>
      </c>
      <c r="U941" s="126">
        <v>1546.7354676735372</v>
      </c>
    </row>
    <row r="942" spans="1:21" s="67" customFormat="1" ht="61.5" x14ac:dyDescent="0.9">
      <c r="A942" s="67">
        <v>1</v>
      </c>
      <c r="B942" s="118">
        <f>SUBTOTAL(103,$A$890:A942)</f>
        <v>53</v>
      </c>
      <c r="C942" s="115" t="s">
        <v>647</v>
      </c>
      <c r="D942" s="122">
        <v>1981</v>
      </c>
      <c r="E942" s="127"/>
      <c r="F942" s="127" t="s">
        <v>274</v>
      </c>
      <c r="G942" s="122">
        <v>2</v>
      </c>
      <c r="H942" s="122">
        <v>3</v>
      </c>
      <c r="I942" s="123">
        <v>940.2</v>
      </c>
      <c r="J942" s="123">
        <v>850.3</v>
      </c>
      <c r="K942" s="123">
        <v>850.3</v>
      </c>
      <c r="L942" s="124">
        <v>29</v>
      </c>
      <c r="M942" s="122" t="s">
        <v>272</v>
      </c>
      <c r="N942" s="122" t="s">
        <v>276</v>
      </c>
      <c r="O942" s="125" t="s">
        <v>1159</v>
      </c>
      <c r="P942" s="126">
        <v>3550462.6100000003</v>
      </c>
      <c r="Q942" s="126">
        <v>0</v>
      </c>
      <c r="R942" s="126">
        <v>0</v>
      </c>
      <c r="S942" s="126">
        <f t="shared" si="327"/>
        <v>3550462.6100000003</v>
      </c>
      <c r="T942" s="126">
        <f t="shared" si="328"/>
        <v>3776.284418208892</v>
      </c>
      <c r="U942" s="126">
        <v>5792.558472346308</v>
      </c>
    </row>
    <row r="943" spans="1:21" s="67" customFormat="1" ht="61.5" x14ac:dyDescent="0.9">
      <c r="A943" s="67">
        <v>1</v>
      </c>
      <c r="B943" s="118">
        <f>SUBTOTAL(103,$A$890:A943)</f>
        <v>54</v>
      </c>
      <c r="C943" s="115" t="s">
        <v>648</v>
      </c>
      <c r="D943" s="122">
        <v>1994</v>
      </c>
      <c r="E943" s="127"/>
      <c r="F943" s="127" t="s">
        <v>274</v>
      </c>
      <c r="G943" s="122">
        <v>3</v>
      </c>
      <c r="H943" s="122">
        <v>2</v>
      </c>
      <c r="I943" s="123">
        <v>1489.9</v>
      </c>
      <c r="J943" s="123">
        <v>1353.2</v>
      </c>
      <c r="K943" s="123">
        <v>1353.2</v>
      </c>
      <c r="L943" s="124">
        <v>72</v>
      </c>
      <c r="M943" s="122" t="s">
        <v>272</v>
      </c>
      <c r="N943" s="122" t="s">
        <v>276</v>
      </c>
      <c r="O943" s="125" t="s">
        <v>1159</v>
      </c>
      <c r="P943" s="126">
        <v>4265711.66</v>
      </c>
      <c r="Q943" s="126">
        <v>0</v>
      </c>
      <c r="R943" s="126">
        <v>0</v>
      </c>
      <c r="S943" s="126">
        <f t="shared" si="327"/>
        <v>4265711.66</v>
      </c>
      <c r="T943" s="126">
        <f t="shared" si="328"/>
        <v>2863.0858849587221</v>
      </c>
      <c r="U943" s="126">
        <v>4416.3069669105307</v>
      </c>
    </row>
    <row r="944" spans="1:21" s="67" customFormat="1" ht="61.5" x14ac:dyDescent="0.9">
      <c r="A944" s="67">
        <v>1</v>
      </c>
      <c r="B944" s="118">
        <f>SUBTOTAL(103,$A$890:A944)</f>
        <v>55</v>
      </c>
      <c r="C944" s="115" t="s">
        <v>649</v>
      </c>
      <c r="D944" s="122" t="s">
        <v>362</v>
      </c>
      <c r="E944" s="127"/>
      <c r="F944" s="127" t="s">
        <v>321</v>
      </c>
      <c r="G944" s="122" t="s">
        <v>363</v>
      </c>
      <c r="H944" s="122">
        <v>4</v>
      </c>
      <c r="I944" s="123">
        <v>4064.4</v>
      </c>
      <c r="J944" s="123">
        <v>3058.6</v>
      </c>
      <c r="K944" s="123">
        <v>2912</v>
      </c>
      <c r="L944" s="124">
        <v>130</v>
      </c>
      <c r="M944" s="122" t="s">
        <v>272</v>
      </c>
      <c r="N944" s="122" t="s">
        <v>276</v>
      </c>
      <c r="O944" s="125" t="s">
        <v>1045</v>
      </c>
      <c r="P944" s="126">
        <v>3545858.66</v>
      </c>
      <c r="Q944" s="126">
        <v>0</v>
      </c>
      <c r="R944" s="126">
        <v>0</v>
      </c>
      <c r="S944" s="126">
        <f t="shared" si="327"/>
        <v>3545858.66</v>
      </c>
      <c r="T944" s="126">
        <f t="shared" si="328"/>
        <v>872.4187235508316</v>
      </c>
      <c r="U944" s="126">
        <v>1280.5911358380081</v>
      </c>
    </row>
    <row r="945" spans="1:21" s="67" customFormat="1" ht="61.5" x14ac:dyDescent="0.9">
      <c r="A945" s="67">
        <v>1</v>
      </c>
      <c r="B945" s="118">
        <f>SUBTOTAL(103,$A$890:A945)</f>
        <v>56</v>
      </c>
      <c r="C945" s="115" t="s">
        <v>650</v>
      </c>
      <c r="D945" s="122" t="s">
        <v>384</v>
      </c>
      <c r="E945" s="127"/>
      <c r="F945" s="127" t="s">
        <v>321</v>
      </c>
      <c r="G945" s="122" t="s">
        <v>363</v>
      </c>
      <c r="H945" s="122">
        <v>5</v>
      </c>
      <c r="I945" s="123">
        <v>5067.1000000000004</v>
      </c>
      <c r="J945" s="123">
        <v>3815.6</v>
      </c>
      <c r="K945" s="123">
        <v>3768.9</v>
      </c>
      <c r="L945" s="124">
        <v>158</v>
      </c>
      <c r="M945" s="122" t="s">
        <v>272</v>
      </c>
      <c r="N945" s="122" t="s">
        <v>276</v>
      </c>
      <c r="O945" s="125" t="s">
        <v>1045</v>
      </c>
      <c r="P945" s="126">
        <v>4460834.87</v>
      </c>
      <c r="Q945" s="126">
        <v>0</v>
      </c>
      <c r="R945" s="126">
        <v>0</v>
      </c>
      <c r="S945" s="126">
        <f t="shared" si="327"/>
        <v>4460834.87</v>
      </c>
      <c r="T945" s="126">
        <f t="shared" si="328"/>
        <v>880.35264155039363</v>
      </c>
      <c r="U945" s="126">
        <v>1283.5614725385326</v>
      </c>
    </row>
    <row r="946" spans="1:21" s="67" customFormat="1" ht="61.5" x14ac:dyDescent="0.9">
      <c r="A946" s="67">
        <v>1</v>
      </c>
      <c r="B946" s="118">
        <f>SUBTOTAL(103,$A$890:A946)</f>
        <v>57</v>
      </c>
      <c r="C946" s="115" t="s">
        <v>518</v>
      </c>
      <c r="D946" s="122">
        <v>1995</v>
      </c>
      <c r="E946" s="127"/>
      <c r="F946" s="127" t="s">
        <v>274</v>
      </c>
      <c r="G946" s="122">
        <v>9</v>
      </c>
      <c r="H946" s="122">
        <v>1</v>
      </c>
      <c r="I946" s="123">
        <v>6176.6</v>
      </c>
      <c r="J946" s="123">
        <v>4705.1000000000004</v>
      </c>
      <c r="K946" s="123">
        <v>4212.5</v>
      </c>
      <c r="L946" s="124">
        <v>299</v>
      </c>
      <c r="M946" s="122" t="s">
        <v>272</v>
      </c>
      <c r="N946" s="122" t="s">
        <v>276</v>
      </c>
      <c r="O946" s="125" t="s">
        <v>1044</v>
      </c>
      <c r="P946" s="126">
        <v>2100000</v>
      </c>
      <c r="Q946" s="126">
        <v>0</v>
      </c>
      <c r="R946" s="126">
        <v>0</v>
      </c>
      <c r="S946" s="126">
        <f t="shared" si="327"/>
        <v>2100000</v>
      </c>
      <c r="T946" s="126">
        <f t="shared" si="328"/>
        <v>339.99287633973381</v>
      </c>
      <c r="U946" s="126">
        <v>364.00333516821553</v>
      </c>
    </row>
    <row r="947" spans="1:21" s="67" customFormat="1" ht="61.5" x14ac:dyDescent="0.9">
      <c r="A947" s="67">
        <v>1</v>
      </c>
      <c r="B947" s="118">
        <f>SUBTOTAL(103,$A$890:A947)</f>
        <v>58</v>
      </c>
      <c r="C947" s="115" t="s">
        <v>1144</v>
      </c>
      <c r="D947" s="122">
        <v>1990</v>
      </c>
      <c r="E947" s="127"/>
      <c r="F947" s="127" t="s">
        <v>274</v>
      </c>
      <c r="G947" s="122">
        <v>9</v>
      </c>
      <c r="H947" s="122">
        <v>4</v>
      </c>
      <c r="I947" s="123">
        <v>11085.8</v>
      </c>
      <c r="J947" s="123">
        <v>9319.2999999999993</v>
      </c>
      <c r="K947" s="123">
        <v>5667.8</v>
      </c>
      <c r="L947" s="124">
        <v>446</v>
      </c>
      <c r="M947" s="122" t="s">
        <v>272</v>
      </c>
      <c r="N947" s="122" t="s">
        <v>276</v>
      </c>
      <c r="O947" s="125" t="s">
        <v>1151</v>
      </c>
      <c r="P947" s="126">
        <v>6300000</v>
      </c>
      <c r="Q947" s="126">
        <v>0</v>
      </c>
      <c r="R947" s="126">
        <v>0</v>
      </c>
      <c r="S947" s="126">
        <f t="shared" si="327"/>
        <v>6300000</v>
      </c>
      <c r="T947" s="126">
        <f t="shared" si="328"/>
        <v>568.29457504194556</v>
      </c>
      <c r="U947" s="126">
        <v>608.42780854787213</v>
      </c>
    </row>
    <row r="948" spans="1:21" s="67" customFormat="1" ht="61.5" x14ac:dyDescent="0.9">
      <c r="B948" s="115" t="s">
        <v>806</v>
      </c>
      <c r="C948" s="119"/>
      <c r="D948" s="122" t="s">
        <v>943</v>
      </c>
      <c r="E948" s="122" t="s">
        <v>943</v>
      </c>
      <c r="F948" s="122" t="s">
        <v>943</v>
      </c>
      <c r="G948" s="122" t="s">
        <v>943</v>
      </c>
      <c r="H948" s="122" t="s">
        <v>943</v>
      </c>
      <c r="I948" s="123">
        <f>SUM(I949:I962)</f>
        <v>15519.199999999999</v>
      </c>
      <c r="J948" s="123">
        <f t="shared" ref="J948:L948" si="329">SUM(J949:J962)</f>
        <v>14381.3</v>
      </c>
      <c r="K948" s="123">
        <f t="shared" si="329"/>
        <v>13063.999999999998</v>
      </c>
      <c r="L948" s="124">
        <f t="shared" si="329"/>
        <v>787</v>
      </c>
      <c r="M948" s="122" t="s">
        <v>943</v>
      </c>
      <c r="N948" s="122" t="s">
        <v>943</v>
      </c>
      <c r="O948" s="125" t="s">
        <v>943</v>
      </c>
      <c r="P948" s="123">
        <v>45048314.759999998</v>
      </c>
      <c r="Q948" s="123">
        <f t="shared" ref="Q948:S948" si="330">SUM(Q949:Q962)</f>
        <v>0</v>
      </c>
      <c r="R948" s="123">
        <f t="shared" si="330"/>
        <v>0</v>
      </c>
      <c r="S948" s="123">
        <f t="shared" si="330"/>
        <v>45048314.759999998</v>
      </c>
      <c r="T948" s="126">
        <f t="shared" si="328"/>
        <v>2902.747226661168</v>
      </c>
      <c r="U948" s="126">
        <f>MAX(U949:U962)</f>
        <v>7124.7459972940978</v>
      </c>
    </row>
    <row r="949" spans="1:21" s="67" customFormat="1" ht="61.5" x14ac:dyDescent="0.9">
      <c r="A949" s="67">
        <v>1</v>
      </c>
      <c r="B949" s="118">
        <f>SUBTOTAL(103,$A$890:A949)</f>
        <v>59</v>
      </c>
      <c r="C949" s="115" t="s">
        <v>487</v>
      </c>
      <c r="D949" s="122">
        <v>1962</v>
      </c>
      <c r="E949" s="127"/>
      <c r="F949" s="127" t="s">
        <v>274</v>
      </c>
      <c r="G949" s="122">
        <v>2</v>
      </c>
      <c r="H949" s="122">
        <v>2</v>
      </c>
      <c r="I949" s="123">
        <v>835.9</v>
      </c>
      <c r="J949" s="123">
        <v>784.2</v>
      </c>
      <c r="K949" s="123">
        <v>715.8</v>
      </c>
      <c r="L949" s="124">
        <v>47</v>
      </c>
      <c r="M949" s="122" t="s">
        <v>272</v>
      </c>
      <c r="N949" s="122" t="s">
        <v>273</v>
      </c>
      <c r="O949" s="125" t="s">
        <v>275</v>
      </c>
      <c r="P949" s="126">
        <v>3951259.39</v>
      </c>
      <c r="Q949" s="126">
        <v>0</v>
      </c>
      <c r="R949" s="126">
        <v>0</v>
      </c>
      <c r="S949" s="126">
        <f t="shared" ref="S949:S962" si="331">P949-Q949-R949</f>
        <v>3951259.39</v>
      </c>
      <c r="T949" s="126">
        <f t="shared" si="328"/>
        <v>4726.9522550544325</v>
      </c>
      <c r="U949" s="126">
        <v>5234.8041488216295</v>
      </c>
    </row>
    <row r="950" spans="1:21" s="67" customFormat="1" ht="61.5" x14ac:dyDescent="0.9">
      <c r="A950" s="67">
        <v>1</v>
      </c>
      <c r="B950" s="118">
        <f>SUBTOTAL(103,$A$890:A950)</f>
        <v>60</v>
      </c>
      <c r="C950" s="115" t="s">
        <v>488</v>
      </c>
      <c r="D950" s="122">
        <v>1959</v>
      </c>
      <c r="E950" s="127"/>
      <c r="F950" s="127" t="s">
        <v>274</v>
      </c>
      <c r="G950" s="122">
        <v>2</v>
      </c>
      <c r="H950" s="122">
        <v>2</v>
      </c>
      <c r="I950" s="123">
        <v>611</v>
      </c>
      <c r="J950" s="123">
        <v>564.20000000000005</v>
      </c>
      <c r="K950" s="123">
        <v>492.1</v>
      </c>
      <c r="L950" s="124">
        <v>36</v>
      </c>
      <c r="M950" s="122" t="s">
        <v>272</v>
      </c>
      <c r="N950" s="122" t="s">
        <v>276</v>
      </c>
      <c r="O950" s="125" t="s">
        <v>357</v>
      </c>
      <c r="P950" s="126">
        <v>2999201</v>
      </c>
      <c r="Q950" s="126">
        <v>0</v>
      </c>
      <c r="R950" s="126">
        <v>0</v>
      </c>
      <c r="S950" s="126">
        <f t="shared" si="331"/>
        <v>2999201</v>
      </c>
      <c r="T950" s="126">
        <f t="shared" si="328"/>
        <v>4908.675941080196</v>
      </c>
      <c r="U950" s="126">
        <v>6041.6821440261865</v>
      </c>
    </row>
    <row r="951" spans="1:21" s="67" customFormat="1" ht="61.5" x14ac:dyDescent="0.9">
      <c r="A951" s="67">
        <v>1</v>
      </c>
      <c r="B951" s="118">
        <f>SUBTOTAL(103,$A$890:A951)</f>
        <v>61</v>
      </c>
      <c r="C951" s="115" t="s">
        <v>489</v>
      </c>
      <c r="D951" s="122">
        <v>1960</v>
      </c>
      <c r="E951" s="127"/>
      <c r="F951" s="127" t="s">
        <v>274</v>
      </c>
      <c r="G951" s="122">
        <v>2</v>
      </c>
      <c r="H951" s="122">
        <v>2</v>
      </c>
      <c r="I951" s="123">
        <v>551.9</v>
      </c>
      <c r="J951" s="123">
        <v>506.9</v>
      </c>
      <c r="K951" s="123">
        <v>404</v>
      </c>
      <c r="L951" s="124">
        <v>27</v>
      </c>
      <c r="M951" s="122" t="s">
        <v>272</v>
      </c>
      <c r="N951" s="122" t="s">
        <v>291</v>
      </c>
      <c r="O951" s="125" t="s">
        <v>275</v>
      </c>
      <c r="P951" s="126">
        <v>2584541.12</v>
      </c>
      <c r="Q951" s="126">
        <v>0</v>
      </c>
      <c r="R951" s="126">
        <v>0</v>
      </c>
      <c r="S951" s="126">
        <f t="shared" si="331"/>
        <v>2584541.12</v>
      </c>
      <c r="T951" s="126">
        <f t="shared" si="328"/>
        <v>4682.9880775502816</v>
      </c>
      <c r="U951" s="126">
        <v>6030.7931219423808</v>
      </c>
    </row>
    <row r="952" spans="1:21" s="67" customFormat="1" ht="61.5" x14ac:dyDescent="0.9">
      <c r="A952" s="67">
        <v>1</v>
      </c>
      <c r="B952" s="118">
        <f>SUBTOTAL(103,$A$890:A952)</f>
        <v>62</v>
      </c>
      <c r="C952" s="115" t="s">
        <v>490</v>
      </c>
      <c r="D952" s="122">
        <v>1968</v>
      </c>
      <c r="E952" s="127"/>
      <c r="F952" s="127" t="s">
        <v>274</v>
      </c>
      <c r="G952" s="122">
        <v>5</v>
      </c>
      <c r="H952" s="122">
        <v>4</v>
      </c>
      <c r="I952" s="123">
        <v>3425.4</v>
      </c>
      <c r="J952" s="123">
        <v>3171</v>
      </c>
      <c r="K952" s="123">
        <v>2995.5</v>
      </c>
      <c r="L952" s="124">
        <v>208</v>
      </c>
      <c r="M952" s="122" t="s">
        <v>272</v>
      </c>
      <c r="N952" s="122" t="s">
        <v>273</v>
      </c>
      <c r="O952" s="125" t="s">
        <v>275</v>
      </c>
      <c r="P952" s="126">
        <v>6581549.3999999994</v>
      </c>
      <c r="Q952" s="126">
        <v>0</v>
      </c>
      <c r="R952" s="126">
        <v>0</v>
      </c>
      <c r="S952" s="126">
        <f t="shared" si="331"/>
        <v>6581549.3999999994</v>
      </c>
      <c r="T952" s="126">
        <f t="shared" si="328"/>
        <v>1921.3958661762128</v>
      </c>
      <c r="U952" s="126">
        <v>2226.2755006714542</v>
      </c>
    </row>
    <row r="953" spans="1:21" s="67" customFormat="1" ht="61.5" x14ac:dyDescent="0.9">
      <c r="A953" s="67">
        <v>1</v>
      </c>
      <c r="B953" s="118">
        <f>SUBTOTAL(103,$A$890:A953)</f>
        <v>63</v>
      </c>
      <c r="C953" s="115" t="s">
        <v>491</v>
      </c>
      <c r="D953" s="122">
        <v>1966</v>
      </c>
      <c r="E953" s="127"/>
      <c r="F953" s="127" t="s">
        <v>274</v>
      </c>
      <c r="G953" s="122">
        <v>5</v>
      </c>
      <c r="H953" s="122">
        <v>3</v>
      </c>
      <c r="I953" s="123">
        <v>2555.3000000000002</v>
      </c>
      <c r="J953" s="123">
        <v>2523.1</v>
      </c>
      <c r="K953" s="123">
        <v>2195.4</v>
      </c>
      <c r="L953" s="124">
        <v>137</v>
      </c>
      <c r="M953" s="122" t="s">
        <v>272</v>
      </c>
      <c r="N953" s="122" t="s">
        <v>273</v>
      </c>
      <c r="O953" s="125" t="s">
        <v>275</v>
      </c>
      <c r="P953" s="126">
        <v>4737312</v>
      </c>
      <c r="Q953" s="126">
        <v>0</v>
      </c>
      <c r="R953" s="126">
        <v>0</v>
      </c>
      <c r="S953" s="126">
        <f t="shared" si="331"/>
        <v>4737312</v>
      </c>
      <c r="T953" s="126">
        <f t="shared" si="328"/>
        <v>1853.9161742261181</v>
      </c>
      <c r="U953" s="126">
        <v>2281.831675341447</v>
      </c>
    </row>
    <row r="954" spans="1:21" s="67" customFormat="1" ht="61.5" x14ac:dyDescent="0.9">
      <c r="A954" s="67">
        <v>1</v>
      </c>
      <c r="B954" s="118">
        <f>SUBTOTAL(103,$A$890:A954)</f>
        <v>64</v>
      </c>
      <c r="C954" s="115" t="s">
        <v>492</v>
      </c>
      <c r="D954" s="122">
        <v>1964</v>
      </c>
      <c r="E954" s="127">
        <v>2008</v>
      </c>
      <c r="F954" s="127" t="s">
        <v>274</v>
      </c>
      <c r="G954" s="122">
        <v>4</v>
      </c>
      <c r="H954" s="122">
        <v>2</v>
      </c>
      <c r="I954" s="123">
        <v>1368.5</v>
      </c>
      <c r="J954" s="123">
        <v>1271.5</v>
      </c>
      <c r="K954" s="123">
        <v>1271.5</v>
      </c>
      <c r="L954" s="124">
        <v>43</v>
      </c>
      <c r="M954" s="122" t="s">
        <v>272</v>
      </c>
      <c r="N954" s="122" t="s">
        <v>355</v>
      </c>
      <c r="O954" s="125" t="s">
        <v>356</v>
      </c>
      <c r="P954" s="126">
        <v>491510.45999999996</v>
      </c>
      <c r="Q954" s="126">
        <v>0</v>
      </c>
      <c r="R954" s="126">
        <v>0</v>
      </c>
      <c r="S954" s="126">
        <f t="shared" si="331"/>
        <v>491510.45999999996</v>
      </c>
      <c r="T954" s="126">
        <f t="shared" si="328"/>
        <v>359.15999999999997</v>
      </c>
      <c r="U954" s="126">
        <v>359.15999999999997</v>
      </c>
    </row>
    <row r="955" spans="1:21" s="67" customFormat="1" ht="61.5" x14ac:dyDescent="0.9">
      <c r="A955" s="67">
        <v>1</v>
      </c>
      <c r="B955" s="118">
        <f>SUBTOTAL(103,$A$890:A955)</f>
        <v>65</v>
      </c>
      <c r="C955" s="115" t="s">
        <v>493</v>
      </c>
      <c r="D955" s="122">
        <v>1960</v>
      </c>
      <c r="E955" s="127"/>
      <c r="F955" s="127" t="s">
        <v>274</v>
      </c>
      <c r="G955" s="122">
        <v>2</v>
      </c>
      <c r="H955" s="122">
        <v>2</v>
      </c>
      <c r="I955" s="123">
        <v>694.3</v>
      </c>
      <c r="J955" s="123">
        <v>646.1</v>
      </c>
      <c r="K955" s="123">
        <v>646.1</v>
      </c>
      <c r="L955" s="124">
        <v>42</v>
      </c>
      <c r="M955" s="122" t="s">
        <v>272</v>
      </c>
      <c r="N955" s="122" t="s">
        <v>273</v>
      </c>
      <c r="O955" s="125" t="s">
        <v>275</v>
      </c>
      <c r="P955" s="126">
        <v>3422817.5799999996</v>
      </c>
      <c r="Q955" s="126">
        <v>0</v>
      </c>
      <c r="R955" s="126">
        <v>0</v>
      </c>
      <c r="S955" s="126">
        <f t="shared" si="331"/>
        <v>3422817.5799999996</v>
      </c>
      <c r="T955" s="126">
        <f t="shared" si="328"/>
        <v>4929.8827308080081</v>
      </c>
      <c r="U955" s="126">
        <v>6067.7838228431519</v>
      </c>
    </row>
    <row r="956" spans="1:21" s="67" customFormat="1" ht="61.5" x14ac:dyDescent="0.9">
      <c r="A956" s="67">
        <v>1</v>
      </c>
      <c r="B956" s="118">
        <f>SUBTOTAL(103,$A$890:A956)</f>
        <v>66</v>
      </c>
      <c r="C956" s="115" t="s">
        <v>494</v>
      </c>
      <c r="D956" s="122">
        <v>1961</v>
      </c>
      <c r="E956" s="127"/>
      <c r="F956" s="127" t="s">
        <v>274</v>
      </c>
      <c r="G956" s="122">
        <v>2</v>
      </c>
      <c r="H956" s="122">
        <v>2</v>
      </c>
      <c r="I956" s="123">
        <v>579.4</v>
      </c>
      <c r="J956" s="123">
        <v>538.1</v>
      </c>
      <c r="K956" s="123">
        <v>470.3</v>
      </c>
      <c r="L956" s="124">
        <v>35</v>
      </c>
      <c r="M956" s="122" t="s">
        <v>272</v>
      </c>
      <c r="N956" s="122" t="s">
        <v>291</v>
      </c>
      <c r="O956" s="125" t="s">
        <v>275</v>
      </c>
      <c r="P956" s="126">
        <v>2888444.4</v>
      </c>
      <c r="Q956" s="126">
        <v>0</v>
      </c>
      <c r="R956" s="126">
        <v>0</v>
      </c>
      <c r="S956" s="126">
        <f t="shared" si="331"/>
        <v>2888444.4</v>
      </c>
      <c r="T956" s="126">
        <f t="shared" si="328"/>
        <v>4985.2336900241626</v>
      </c>
      <c r="U956" s="126">
        <v>6135.9107283396615</v>
      </c>
    </row>
    <row r="957" spans="1:21" s="67" customFormat="1" ht="61.5" x14ac:dyDescent="0.9">
      <c r="A957" s="67">
        <v>1</v>
      </c>
      <c r="B957" s="118">
        <f>SUBTOTAL(103,$A$890:A957)</f>
        <v>67</v>
      </c>
      <c r="C957" s="115" t="s">
        <v>495</v>
      </c>
      <c r="D957" s="122">
        <v>1960</v>
      </c>
      <c r="E957" s="127"/>
      <c r="F957" s="127" t="s">
        <v>274</v>
      </c>
      <c r="G957" s="122">
        <v>2</v>
      </c>
      <c r="H957" s="122">
        <v>2</v>
      </c>
      <c r="I957" s="123">
        <v>591.29999999999995</v>
      </c>
      <c r="J957" s="123">
        <v>542.9</v>
      </c>
      <c r="K957" s="123">
        <v>477.6</v>
      </c>
      <c r="L957" s="124">
        <v>27</v>
      </c>
      <c r="M957" s="122" t="s">
        <v>272</v>
      </c>
      <c r="N957" s="122" t="s">
        <v>273</v>
      </c>
      <c r="O957" s="125" t="s">
        <v>275</v>
      </c>
      <c r="P957" s="126">
        <v>3422817.5799999996</v>
      </c>
      <c r="Q957" s="126">
        <v>0</v>
      </c>
      <c r="R957" s="126">
        <v>0</v>
      </c>
      <c r="S957" s="126">
        <f t="shared" si="331"/>
        <v>3422817.5799999996</v>
      </c>
      <c r="T957" s="126">
        <f t="shared" si="328"/>
        <v>5788.6311178758669</v>
      </c>
      <c r="U957" s="126">
        <v>7124.7459972940978</v>
      </c>
    </row>
    <row r="958" spans="1:21" s="67" customFormat="1" ht="61.5" x14ac:dyDescent="0.9">
      <c r="A958" s="67">
        <v>1</v>
      </c>
      <c r="B958" s="118">
        <f>SUBTOTAL(103,$A$890:A958)</f>
        <v>68</v>
      </c>
      <c r="C958" s="115" t="s">
        <v>496</v>
      </c>
      <c r="D958" s="122">
        <v>1962</v>
      </c>
      <c r="E958" s="127"/>
      <c r="F958" s="127" t="s">
        <v>274</v>
      </c>
      <c r="G958" s="122">
        <v>2</v>
      </c>
      <c r="H958" s="122">
        <v>2</v>
      </c>
      <c r="I958" s="123">
        <v>588.1</v>
      </c>
      <c r="J958" s="123">
        <v>540</v>
      </c>
      <c r="K958" s="123">
        <v>500</v>
      </c>
      <c r="L958" s="124">
        <v>26</v>
      </c>
      <c r="M958" s="122" t="s">
        <v>272</v>
      </c>
      <c r="N958" s="122" t="s">
        <v>273</v>
      </c>
      <c r="O958" s="125" t="s">
        <v>275</v>
      </c>
      <c r="P958" s="126">
        <v>2854935.17</v>
      </c>
      <c r="Q958" s="126">
        <v>0</v>
      </c>
      <c r="R958" s="126">
        <v>0</v>
      </c>
      <c r="S958" s="126">
        <f t="shared" si="331"/>
        <v>2854935.17</v>
      </c>
      <c r="T958" s="126">
        <f t="shared" si="328"/>
        <v>4854.506325454854</v>
      </c>
      <c r="U958" s="126">
        <v>6252.2672411154563</v>
      </c>
    </row>
    <row r="959" spans="1:21" s="67" customFormat="1" ht="61.5" x14ac:dyDescent="0.9">
      <c r="A959" s="67">
        <v>1</v>
      </c>
      <c r="B959" s="118">
        <f>SUBTOTAL(103,$A$890:A959)</f>
        <v>69</v>
      </c>
      <c r="C959" s="115" t="s">
        <v>497</v>
      </c>
      <c r="D959" s="122">
        <v>1958</v>
      </c>
      <c r="E959" s="127"/>
      <c r="F959" s="127" t="s">
        <v>274</v>
      </c>
      <c r="G959" s="122">
        <v>2</v>
      </c>
      <c r="H959" s="122">
        <v>1</v>
      </c>
      <c r="I959" s="123">
        <v>714.4</v>
      </c>
      <c r="J959" s="123">
        <v>687.7</v>
      </c>
      <c r="K959" s="123">
        <v>565.79999999999995</v>
      </c>
      <c r="L959" s="124">
        <v>17</v>
      </c>
      <c r="M959" s="122" t="s">
        <v>272</v>
      </c>
      <c r="N959" s="122" t="s">
        <v>351</v>
      </c>
      <c r="O959" s="125" t="s">
        <v>353</v>
      </c>
      <c r="P959" s="126">
        <v>2611847.7000000002</v>
      </c>
      <c r="Q959" s="126">
        <v>0</v>
      </c>
      <c r="R959" s="126">
        <v>0</v>
      </c>
      <c r="S959" s="126">
        <f t="shared" si="331"/>
        <v>2611847.7000000002</v>
      </c>
      <c r="T959" s="126">
        <f t="shared" si="328"/>
        <v>3656.0018197088471</v>
      </c>
      <c r="U959" s="126">
        <v>4817.7081466965283</v>
      </c>
    </row>
    <row r="960" spans="1:21" s="67" customFormat="1" ht="63" x14ac:dyDescent="0.9">
      <c r="A960" s="67">
        <v>1</v>
      </c>
      <c r="B960" s="118">
        <f>SUBTOTAL(103,$A$890:A960)</f>
        <v>70</v>
      </c>
      <c r="C960" s="115" t="s">
        <v>498</v>
      </c>
      <c r="D960" s="122">
        <v>1965</v>
      </c>
      <c r="E960" s="127"/>
      <c r="F960" s="127" t="s">
        <v>274</v>
      </c>
      <c r="G960" s="122">
        <v>4</v>
      </c>
      <c r="H960" s="122">
        <v>3</v>
      </c>
      <c r="I960" s="123">
        <v>2028.5</v>
      </c>
      <c r="J960" s="123">
        <v>1881.3</v>
      </c>
      <c r="K960" s="123">
        <v>1691</v>
      </c>
      <c r="L960" s="124">
        <v>86</v>
      </c>
      <c r="M960" s="122" t="s">
        <v>272</v>
      </c>
      <c r="N960" s="122" t="s">
        <v>276</v>
      </c>
      <c r="O960" s="125" t="s">
        <v>350</v>
      </c>
      <c r="P960" s="126">
        <v>2857221.68</v>
      </c>
      <c r="Q960" s="126">
        <v>0</v>
      </c>
      <c r="R960" s="126">
        <v>0</v>
      </c>
      <c r="S960" s="126">
        <f t="shared" si="331"/>
        <v>2857221.68</v>
      </c>
      <c r="T960" s="126">
        <f t="shared" si="328"/>
        <v>1408.539157012571</v>
      </c>
      <c r="U960" s="126">
        <v>1819.8017204831156</v>
      </c>
    </row>
    <row r="961" spans="1:21" s="67" customFormat="1" ht="61.5" x14ac:dyDescent="0.9">
      <c r="A961" s="67">
        <v>1</v>
      </c>
      <c r="B961" s="118">
        <f>SUBTOTAL(103,$A$890:A961)</f>
        <v>71</v>
      </c>
      <c r="C961" s="115" t="s">
        <v>499</v>
      </c>
      <c r="D961" s="122">
        <v>1937</v>
      </c>
      <c r="E961" s="127">
        <v>2008</v>
      </c>
      <c r="F961" s="127" t="s">
        <v>340</v>
      </c>
      <c r="G961" s="122">
        <v>2</v>
      </c>
      <c r="H961" s="122">
        <v>2</v>
      </c>
      <c r="I961" s="123">
        <v>554</v>
      </c>
      <c r="J961" s="123">
        <v>344.8</v>
      </c>
      <c r="K961" s="123">
        <v>259.39999999999998</v>
      </c>
      <c r="L961" s="124">
        <v>35</v>
      </c>
      <c r="M961" s="122" t="s">
        <v>272</v>
      </c>
      <c r="N961" s="122" t="s">
        <v>273</v>
      </c>
      <c r="O961" s="125" t="s">
        <v>275</v>
      </c>
      <c r="P961" s="126">
        <v>3123098.64</v>
      </c>
      <c r="Q961" s="126">
        <v>0</v>
      </c>
      <c r="R961" s="126">
        <v>0</v>
      </c>
      <c r="S961" s="126">
        <f t="shared" si="331"/>
        <v>3123098.64</v>
      </c>
      <c r="T961" s="126">
        <f t="shared" si="328"/>
        <v>5637.3621660649824</v>
      </c>
      <c r="U961" s="126">
        <v>6829.0804332129965</v>
      </c>
    </row>
    <row r="962" spans="1:21" s="67" customFormat="1" ht="61.5" x14ac:dyDescent="0.9">
      <c r="A962" s="67">
        <v>1</v>
      </c>
      <c r="B962" s="118">
        <f>SUBTOTAL(103,$A$890:A962)</f>
        <v>72</v>
      </c>
      <c r="C962" s="115" t="s">
        <v>500</v>
      </c>
      <c r="D962" s="122">
        <v>1951</v>
      </c>
      <c r="E962" s="127"/>
      <c r="F962" s="127" t="s">
        <v>334</v>
      </c>
      <c r="G962" s="122">
        <v>2</v>
      </c>
      <c r="H962" s="122">
        <v>2</v>
      </c>
      <c r="I962" s="123">
        <v>421.2</v>
      </c>
      <c r="J962" s="123">
        <v>379.5</v>
      </c>
      <c r="K962" s="123">
        <v>379.5</v>
      </c>
      <c r="L962" s="124">
        <v>21</v>
      </c>
      <c r="M962" s="122" t="s">
        <v>272</v>
      </c>
      <c r="N962" s="122" t="s">
        <v>273</v>
      </c>
      <c r="O962" s="125" t="s">
        <v>275</v>
      </c>
      <c r="P962" s="126">
        <v>2521758.64</v>
      </c>
      <c r="Q962" s="126">
        <v>0</v>
      </c>
      <c r="R962" s="126">
        <v>0</v>
      </c>
      <c r="S962" s="126">
        <f t="shared" si="331"/>
        <v>2521758.64</v>
      </c>
      <c r="T962" s="126">
        <f t="shared" si="328"/>
        <v>5987.0812915479582</v>
      </c>
      <c r="U962" s="126">
        <v>6383.9036818613486</v>
      </c>
    </row>
    <row r="963" spans="1:21" s="67" customFormat="1" ht="61.5" x14ac:dyDescent="0.9">
      <c r="B963" s="115" t="s">
        <v>807</v>
      </c>
      <c r="C963" s="119"/>
      <c r="D963" s="122" t="s">
        <v>943</v>
      </c>
      <c r="E963" s="122" t="s">
        <v>943</v>
      </c>
      <c r="F963" s="122" t="s">
        <v>943</v>
      </c>
      <c r="G963" s="122" t="s">
        <v>943</v>
      </c>
      <c r="H963" s="122" t="s">
        <v>943</v>
      </c>
      <c r="I963" s="123">
        <f>SUM(I964:I990)</f>
        <v>55301.200000000004</v>
      </c>
      <c r="J963" s="123">
        <f t="shared" ref="J963:L963" si="332">SUM(J964:J990)</f>
        <v>48016.490000000005</v>
      </c>
      <c r="K963" s="123">
        <f t="shared" si="332"/>
        <v>44250.389999999985</v>
      </c>
      <c r="L963" s="124">
        <f t="shared" si="332"/>
        <v>2316</v>
      </c>
      <c r="M963" s="122" t="s">
        <v>943</v>
      </c>
      <c r="N963" s="122" t="s">
        <v>943</v>
      </c>
      <c r="O963" s="125" t="s">
        <v>943</v>
      </c>
      <c r="P963" s="123">
        <v>91626897.959999993</v>
      </c>
      <c r="Q963" s="123">
        <f t="shared" ref="Q963:S963" si="333">SUM(Q964:Q990)</f>
        <v>0</v>
      </c>
      <c r="R963" s="123">
        <f t="shared" si="333"/>
        <v>0</v>
      </c>
      <c r="S963" s="123">
        <f t="shared" si="333"/>
        <v>91626897.959999993</v>
      </c>
      <c r="T963" s="126">
        <f t="shared" si="328"/>
        <v>1656.869976781697</v>
      </c>
      <c r="U963" s="126">
        <f>MAX(U964:U990)</f>
        <v>7662.0680598307781</v>
      </c>
    </row>
    <row r="964" spans="1:21" s="67" customFormat="1" ht="61.5" x14ac:dyDescent="0.9">
      <c r="A964" s="67">
        <v>1</v>
      </c>
      <c r="B964" s="118">
        <f>SUBTOTAL(103,$A$890:A964)</f>
        <v>73</v>
      </c>
      <c r="C964" s="115" t="s">
        <v>442</v>
      </c>
      <c r="D964" s="122">
        <v>1959</v>
      </c>
      <c r="E964" s="127"/>
      <c r="F964" s="127" t="s">
        <v>274</v>
      </c>
      <c r="G964" s="122">
        <v>3</v>
      </c>
      <c r="H964" s="122">
        <v>4</v>
      </c>
      <c r="I964" s="123">
        <v>2095.6</v>
      </c>
      <c r="J964" s="123">
        <v>1915.7</v>
      </c>
      <c r="K964" s="123">
        <v>1915.7</v>
      </c>
      <c r="L964" s="124">
        <v>69</v>
      </c>
      <c r="M964" s="122" t="s">
        <v>272</v>
      </c>
      <c r="N964" s="122" t="s">
        <v>276</v>
      </c>
      <c r="O964" s="125" t="s">
        <v>335</v>
      </c>
      <c r="P964" s="126">
        <v>4337224.8899999997</v>
      </c>
      <c r="Q964" s="126">
        <v>0</v>
      </c>
      <c r="R964" s="126">
        <v>0</v>
      </c>
      <c r="S964" s="126">
        <f t="shared" ref="S964:S990" si="334">P964-Q964-R964</f>
        <v>4337224.8899999997</v>
      </c>
      <c r="T964" s="126">
        <f t="shared" si="328"/>
        <v>2069.6816615766365</v>
      </c>
      <c r="U964" s="126">
        <v>2994.9275147928993</v>
      </c>
    </row>
    <row r="965" spans="1:21" s="67" customFormat="1" ht="61.5" x14ac:dyDescent="0.9">
      <c r="A965" s="67">
        <v>1</v>
      </c>
      <c r="B965" s="118">
        <f>SUBTOTAL(103,$A$890:A965)</f>
        <v>74</v>
      </c>
      <c r="C965" s="115" t="s">
        <v>443</v>
      </c>
      <c r="D965" s="122">
        <v>1989</v>
      </c>
      <c r="E965" s="127"/>
      <c r="F965" s="127" t="s">
        <v>274</v>
      </c>
      <c r="G965" s="122">
        <v>5</v>
      </c>
      <c r="H965" s="122">
        <v>3</v>
      </c>
      <c r="I965" s="123">
        <v>2042.1</v>
      </c>
      <c r="J965" s="123">
        <v>1708.9</v>
      </c>
      <c r="K965" s="123">
        <v>1675.9</v>
      </c>
      <c r="L965" s="124">
        <v>86</v>
      </c>
      <c r="M965" s="122" t="s">
        <v>272</v>
      </c>
      <c r="N965" s="122" t="s">
        <v>276</v>
      </c>
      <c r="O965" s="125" t="s">
        <v>1061</v>
      </c>
      <c r="P965" s="126">
        <v>2714283.9</v>
      </c>
      <c r="Q965" s="126">
        <v>0</v>
      </c>
      <c r="R965" s="126">
        <v>0</v>
      </c>
      <c r="S965" s="126">
        <f t="shared" si="334"/>
        <v>2714283.9</v>
      </c>
      <c r="T965" s="126">
        <f t="shared" si="328"/>
        <v>1329.1630674305861</v>
      </c>
      <c r="U965" s="126">
        <v>1963.0040546496252</v>
      </c>
    </row>
    <row r="966" spans="1:21" s="67" customFormat="1" ht="61.5" x14ac:dyDescent="0.9">
      <c r="A966" s="67">
        <v>1</v>
      </c>
      <c r="B966" s="118">
        <f>SUBTOTAL(103,$A$890:A966)</f>
        <v>75</v>
      </c>
      <c r="C966" s="115" t="s">
        <v>444</v>
      </c>
      <c r="D966" s="122">
        <v>1972</v>
      </c>
      <c r="E966" s="127"/>
      <c r="F966" s="127" t="s">
        <v>274</v>
      </c>
      <c r="G966" s="122">
        <v>5</v>
      </c>
      <c r="H966" s="122">
        <v>4</v>
      </c>
      <c r="I966" s="123">
        <v>3577.12</v>
      </c>
      <c r="J966" s="123">
        <v>3193.8</v>
      </c>
      <c r="K966" s="123">
        <v>2940.98</v>
      </c>
      <c r="L966" s="124">
        <v>152</v>
      </c>
      <c r="M966" s="122" t="s">
        <v>272</v>
      </c>
      <c r="N966" s="122" t="s">
        <v>276</v>
      </c>
      <c r="O966" s="125" t="s">
        <v>338</v>
      </c>
      <c r="P966" s="126">
        <v>5214319.6899999995</v>
      </c>
      <c r="Q966" s="126">
        <v>0</v>
      </c>
      <c r="R966" s="126">
        <v>0</v>
      </c>
      <c r="S966" s="126">
        <f t="shared" si="334"/>
        <v>5214319.6899999995</v>
      </c>
      <c r="T966" s="126">
        <f t="shared" si="328"/>
        <v>1457.6865439236033</v>
      </c>
      <c r="U966" s="126">
        <v>2109.2111139687795</v>
      </c>
    </row>
    <row r="967" spans="1:21" s="67" customFormat="1" ht="61.5" x14ac:dyDescent="0.9">
      <c r="A967" s="67">
        <v>1</v>
      </c>
      <c r="B967" s="118">
        <f>SUBTOTAL(103,$A$890:A967)</f>
        <v>76</v>
      </c>
      <c r="C967" s="115" t="s">
        <v>445</v>
      </c>
      <c r="D967" s="122">
        <v>1955</v>
      </c>
      <c r="E967" s="127"/>
      <c r="F967" s="127" t="s">
        <v>274</v>
      </c>
      <c r="G967" s="122">
        <v>2</v>
      </c>
      <c r="H967" s="122">
        <v>3</v>
      </c>
      <c r="I967" s="123">
        <v>1501.5</v>
      </c>
      <c r="J967" s="123">
        <v>1386.8</v>
      </c>
      <c r="K967" s="123">
        <v>1250.54</v>
      </c>
      <c r="L967" s="124">
        <v>57</v>
      </c>
      <c r="M967" s="122" t="s">
        <v>272</v>
      </c>
      <c r="N967" s="122" t="s">
        <v>276</v>
      </c>
      <c r="O967" s="125" t="s">
        <v>338</v>
      </c>
      <c r="P967" s="126">
        <v>5749950</v>
      </c>
      <c r="Q967" s="126">
        <v>0</v>
      </c>
      <c r="R967" s="126">
        <v>0</v>
      </c>
      <c r="S967" s="126">
        <f t="shared" si="334"/>
        <v>5749950</v>
      </c>
      <c r="T967" s="126">
        <f t="shared" si="328"/>
        <v>3829.4705294705295</v>
      </c>
      <c r="U967" s="126">
        <v>5272.265734265734</v>
      </c>
    </row>
    <row r="968" spans="1:21" s="67" customFormat="1" ht="61.5" x14ac:dyDescent="0.9">
      <c r="A968" s="67">
        <v>1</v>
      </c>
      <c r="B968" s="118">
        <f>SUBTOTAL(103,$A$890:A968)</f>
        <v>77</v>
      </c>
      <c r="C968" s="115" t="s">
        <v>446</v>
      </c>
      <c r="D968" s="122">
        <v>1961</v>
      </c>
      <c r="E968" s="127"/>
      <c r="F968" s="127" t="s">
        <v>274</v>
      </c>
      <c r="G968" s="122">
        <v>2</v>
      </c>
      <c r="H968" s="122">
        <v>1</v>
      </c>
      <c r="I968" s="123">
        <v>646.49</v>
      </c>
      <c r="J968" s="123">
        <v>588.49</v>
      </c>
      <c r="K968" s="123">
        <v>588.49</v>
      </c>
      <c r="L968" s="124">
        <v>29</v>
      </c>
      <c r="M968" s="122" t="s">
        <v>272</v>
      </c>
      <c r="N968" s="122" t="s">
        <v>273</v>
      </c>
      <c r="O968" s="125" t="s">
        <v>275</v>
      </c>
      <c r="P968" s="126">
        <v>3391530.1000000006</v>
      </c>
      <c r="Q968" s="126">
        <v>0</v>
      </c>
      <c r="R968" s="126">
        <v>0</v>
      </c>
      <c r="S968" s="126">
        <f t="shared" si="334"/>
        <v>3391530.1000000006</v>
      </c>
      <c r="T968" s="126">
        <f t="shared" si="328"/>
        <v>5246.0673792324715</v>
      </c>
      <c r="U968" s="126">
        <v>7662.0680598307781</v>
      </c>
    </row>
    <row r="969" spans="1:21" s="67" customFormat="1" ht="61.5" x14ac:dyDescent="0.9">
      <c r="A969" s="67">
        <v>1</v>
      </c>
      <c r="B969" s="118">
        <f>SUBTOTAL(103,$A$890:A969)</f>
        <v>78</v>
      </c>
      <c r="C969" s="115" t="s">
        <v>447</v>
      </c>
      <c r="D969" s="122">
        <v>1969</v>
      </c>
      <c r="E969" s="127"/>
      <c r="F969" s="127" t="s">
        <v>274</v>
      </c>
      <c r="G969" s="122">
        <v>5</v>
      </c>
      <c r="H969" s="122">
        <v>6</v>
      </c>
      <c r="I969" s="123">
        <v>4890.1099999999997</v>
      </c>
      <c r="J969" s="123">
        <v>4432.68</v>
      </c>
      <c r="K969" s="123">
        <v>4177.2300000000005</v>
      </c>
      <c r="L969" s="124">
        <v>212</v>
      </c>
      <c r="M969" s="122" t="s">
        <v>272</v>
      </c>
      <c r="N969" s="122" t="s">
        <v>276</v>
      </c>
      <c r="O969" s="125" t="s">
        <v>331</v>
      </c>
      <c r="P969" s="126">
        <v>8090003.5300000003</v>
      </c>
      <c r="Q969" s="126">
        <v>0</v>
      </c>
      <c r="R969" s="126">
        <v>0</v>
      </c>
      <c r="S969" s="126">
        <f t="shared" si="334"/>
        <v>8090003.5300000003</v>
      </c>
      <c r="T969" s="126">
        <f t="shared" si="328"/>
        <v>1654.3602352503319</v>
      </c>
      <c r="U969" s="126">
        <v>2365.396479833787</v>
      </c>
    </row>
    <row r="970" spans="1:21" s="67" customFormat="1" ht="61.5" x14ac:dyDescent="0.9">
      <c r="A970" s="67">
        <v>1</v>
      </c>
      <c r="B970" s="118">
        <f>SUBTOTAL(103,$A$890:A970)</f>
        <v>79</v>
      </c>
      <c r="C970" s="115" t="s">
        <v>448</v>
      </c>
      <c r="D970" s="122">
        <v>1961</v>
      </c>
      <c r="E970" s="127"/>
      <c r="F970" s="127" t="s">
        <v>274</v>
      </c>
      <c r="G970" s="122">
        <v>2</v>
      </c>
      <c r="H970" s="122">
        <v>2</v>
      </c>
      <c r="I970" s="123">
        <v>824.68999999999994</v>
      </c>
      <c r="J970" s="123">
        <v>778.39</v>
      </c>
      <c r="K970" s="123">
        <v>728.73</v>
      </c>
      <c r="L970" s="124">
        <v>49</v>
      </c>
      <c r="M970" s="122" t="s">
        <v>272</v>
      </c>
      <c r="N970" s="122" t="s">
        <v>276</v>
      </c>
      <c r="O970" s="125" t="s">
        <v>335</v>
      </c>
      <c r="P970" s="126">
        <v>2744983.73</v>
      </c>
      <c r="Q970" s="126">
        <v>0</v>
      </c>
      <c r="R970" s="126">
        <v>0</v>
      </c>
      <c r="S970" s="126">
        <f t="shared" si="334"/>
        <v>2744983.73</v>
      </c>
      <c r="T970" s="126">
        <f t="shared" si="328"/>
        <v>3328.5037165480367</v>
      </c>
      <c r="U970" s="126">
        <v>4909.8958396488379</v>
      </c>
    </row>
    <row r="971" spans="1:21" s="67" customFormat="1" ht="61.5" x14ac:dyDescent="0.9">
      <c r="A971" s="67">
        <v>1</v>
      </c>
      <c r="B971" s="118">
        <f>SUBTOTAL(103,$A$890:A971)</f>
        <v>80</v>
      </c>
      <c r="C971" s="115" t="s">
        <v>449</v>
      </c>
      <c r="D971" s="122">
        <v>1980</v>
      </c>
      <c r="E971" s="127"/>
      <c r="F971" s="127" t="s">
        <v>274</v>
      </c>
      <c r="G971" s="122">
        <v>5</v>
      </c>
      <c r="H971" s="122">
        <v>2</v>
      </c>
      <c r="I971" s="123">
        <v>1589.4</v>
      </c>
      <c r="J971" s="123">
        <v>1176.4000000000001</v>
      </c>
      <c r="K971" s="123">
        <v>1117.8000000000002</v>
      </c>
      <c r="L971" s="124">
        <v>65</v>
      </c>
      <c r="M971" s="122" t="s">
        <v>272</v>
      </c>
      <c r="N971" s="122" t="s">
        <v>276</v>
      </c>
      <c r="O971" s="125" t="s">
        <v>335</v>
      </c>
      <c r="P971" s="126">
        <v>1568740.5100000002</v>
      </c>
      <c r="Q971" s="126">
        <v>0</v>
      </c>
      <c r="R971" s="126">
        <v>0</v>
      </c>
      <c r="S971" s="126">
        <f t="shared" si="334"/>
        <v>1568740.5100000002</v>
      </c>
      <c r="T971" s="126">
        <f t="shared" si="328"/>
        <v>987.00170504592938</v>
      </c>
      <c r="U971" s="126">
        <v>1486.0950673210016</v>
      </c>
    </row>
    <row r="972" spans="1:21" s="67" customFormat="1" ht="61.5" x14ac:dyDescent="0.9">
      <c r="A972" s="67">
        <v>1</v>
      </c>
      <c r="B972" s="118">
        <f>SUBTOTAL(103,$A$890:A972)</f>
        <v>81</v>
      </c>
      <c r="C972" s="115" t="s">
        <v>210</v>
      </c>
      <c r="D972" s="122">
        <v>1983</v>
      </c>
      <c r="E972" s="127"/>
      <c r="F972" s="127" t="s">
        <v>274</v>
      </c>
      <c r="G972" s="122">
        <v>5</v>
      </c>
      <c r="H972" s="122">
        <v>4</v>
      </c>
      <c r="I972" s="123">
        <v>3097.1</v>
      </c>
      <c r="J972" s="123">
        <v>2810.6</v>
      </c>
      <c r="K972" s="123">
        <v>2810.6</v>
      </c>
      <c r="L972" s="124">
        <v>127</v>
      </c>
      <c r="M972" s="122" t="s">
        <v>272</v>
      </c>
      <c r="N972" s="122" t="s">
        <v>276</v>
      </c>
      <c r="O972" s="125" t="s">
        <v>1061</v>
      </c>
      <c r="P972" s="126">
        <v>4671497.92</v>
      </c>
      <c r="Q972" s="126">
        <v>0</v>
      </c>
      <c r="R972" s="126">
        <v>0</v>
      </c>
      <c r="S972" s="126">
        <f t="shared" si="334"/>
        <v>4671497.92</v>
      </c>
      <c r="T972" s="126">
        <f t="shared" si="328"/>
        <v>1508.3458461141067</v>
      </c>
      <c r="U972" s="126">
        <v>2176.8174840980273</v>
      </c>
    </row>
    <row r="973" spans="1:21" s="67" customFormat="1" ht="61.5" x14ac:dyDescent="0.9">
      <c r="A973" s="67">
        <v>1</v>
      </c>
      <c r="B973" s="118">
        <f>SUBTOTAL(103,$A$890:A973)</f>
        <v>82</v>
      </c>
      <c r="C973" s="115" t="s">
        <v>211</v>
      </c>
      <c r="D973" s="122">
        <v>1963</v>
      </c>
      <c r="E973" s="127"/>
      <c r="F973" s="127" t="s">
        <v>274</v>
      </c>
      <c r="G973" s="122">
        <v>2</v>
      </c>
      <c r="H973" s="122">
        <v>2</v>
      </c>
      <c r="I973" s="123">
        <v>490.8</v>
      </c>
      <c r="J973" s="123">
        <v>442.2</v>
      </c>
      <c r="K973" s="123">
        <v>442.2</v>
      </c>
      <c r="L973" s="124">
        <v>19</v>
      </c>
      <c r="M973" s="122" t="s">
        <v>272</v>
      </c>
      <c r="N973" s="122" t="s">
        <v>276</v>
      </c>
      <c r="O973" s="125" t="s">
        <v>336</v>
      </c>
      <c r="P973" s="126">
        <v>457907</v>
      </c>
      <c r="Q973" s="126">
        <v>0</v>
      </c>
      <c r="R973" s="126">
        <v>0</v>
      </c>
      <c r="S973" s="126">
        <f t="shared" si="334"/>
        <v>457907</v>
      </c>
      <c r="T973" s="126">
        <f t="shared" si="328"/>
        <v>932.98084759576204</v>
      </c>
      <c r="U973" s="126">
        <v>1075.6051344743275</v>
      </c>
    </row>
    <row r="974" spans="1:21" s="67" customFormat="1" ht="61.5" x14ac:dyDescent="0.9">
      <c r="A974" s="67">
        <v>1</v>
      </c>
      <c r="B974" s="118">
        <f>SUBTOTAL(103,$A$890:A974)</f>
        <v>83</v>
      </c>
      <c r="C974" s="115" t="s">
        <v>212</v>
      </c>
      <c r="D974" s="122">
        <v>1969</v>
      </c>
      <c r="E974" s="127"/>
      <c r="F974" s="127" t="s">
        <v>274</v>
      </c>
      <c r="G974" s="122">
        <v>2</v>
      </c>
      <c r="H974" s="122">
        <v>2</v>
      </c>
      <c r="I974" s="123">
        <v>640.40000000000009</v>
      </c>
      <c r="J974" s="123">
        <v>589.20000000000005</v>
      </c>
      <c r="K974" s="123">
        <v>537.5</v>
      </c>
      <c r="L974" s="124">
        <v>31</v>
      </c>
      <c r="M974" s="122" t="s">
        <v>272</v>
      </c>
      <c r="N974" s="122" t="s">
        <v>276</v>
      </c>
      <c r="O974" s="125" t="s">
        <v>336</v>
      </c>
      <c r="P974" s="126">
        <v>632281</v>
      </c>
      <c r="Q974" s="126">
        <v>0</v>
      </c>
      <c r="R974" s="126">
        <v>0</v>
      </c>
      <c r="S974" s="126">
        <f t="shared" si="334"/>
        <v>632281</v>
      </c>
      <c r="T974" s="126">
        <f t="shared" ref="T974:T1037" si="335">P974/I974</f>
        <v>987.32198625858825</v>
      </c>
      <c r="U974" s="126">
        <v>1096.6286695815113</v>
      </c>
    </row>
    <row r="975" spans="1:21" s="67" customFormat="1" ht="61.5" x14ac:dyDescent="0.9">
      <c r="A975" s="67">
        <v>1</v>
      </c>
      <c r="B975" s="118">
        <f>SUBTOTAL(103,$A$890:A975)</f>
        <v>84</v>
      </c>
      <c r="C975" s="115" t="s">
        <v>213</v>
      </c>
      <c r="D975" s="122">
        <v>1966</v>
      </c>
      <c r="E975" s="127"/>
      <c r="F975" s="127" t="s">
        <v>274</v>
      </c>
      <c r="G975" s="122">
        <v>2</v>
      </c>
      <c r="H975" s="122">
        <v>2</v>
      </c>
      <c r="I975" s="123">
        <v>781.6</v>
      </c>
      <c r="J975" s="123">
        <v>719.9</v>
      </c>
      <c r="K975" s="123">
        <v>670.3</v>
      </c>
      <c r="L975" s="124">
        <v>25</v>
      </c>
      <c r="M975" s="122" t="s">
        <v>272</v>
      </c>
      <c r="N975" s="122" t="s">
        <v>276</v>
      </c>
      <c r="O975" s="125" t="s">
        <v>336</v>
      </c>
      <c r="P975" s="126">
        <v>731529</v>
      </c>
      <c r="Q975" s="126">
        <v>0</v>
      </c>
      <c r="R975" s="126">
        <v>0</v>
      </c>
      <c r="S975" s="126">
        <f t="shared" si="334"/>
        <v>731529</v>
      </c>
      <c r="T975" s="126">
        <f t="shared" si="335"/>
        <v>935.93781985670421</v>
      </c>
      <c r="U975" s="126">
        <v>1025.4976970317298</v>
      </c>
    </row>
    <row r="976" spans="1:21" s="67" customFormat="1" ht="61.5" x14ac:dyDescent="0.9">
      <c r="A976" s="67">
        <v>1</v>
      </c>
      <c r="B976" s="118">
        <f>SUBTOTAL(103,$A$890:A976)</f>
        <v>85</v>
      </c>
      <c r="C976" s="115" t="s">
        <v>450</v>
      </c>
      <c r="D976" s="122">
        <v>1963</v>
      </c>
      <c r="E976" s="127"/>
      <c r="F976" s="127" t="s">
        <v>274</v>
      </c>
      <c r="G976" s="122">
        <v>4</v>
      </c>
      <c r="H976" s="122">
        <v>3</v>
      </c>
      <c r="I976" s="123">
        <v>2141.94</v>
      </c>
      <c r="J976" s="123">
        <v>1753.08</v>
      </c>
      <c r="K976" s="123">
        <v>1544.6799999999998</v>
      </c>
      <c r="L976" s="124">
        <v>61</v>
      </c>
      <c r="M976" s="122" t="s">
        <v>272</v>
      </c>
      <c r="N976" s="122" t="s">
        <v>276</v>
      </c>
      <c r="O976" s="125" t="s">
        <v>1061</v>
      </c>
      <c r="P976" s="126">
        <v>4760772.24</v>
      </c>
      <c r="Q976" s="126">
        <v>0</v>
      </c>
      <c r="R976" s="126">
        <v>0</v>
      </c>
      <c r="S976" s="126">
        <f t="shared" si="334"/>
        <v>4760772.24</v>
      </c>
      <c r="T976" s="126">
        <f t="shared" si="335"/>
        <v>2222.6450040617383</v>
      </c>
      <c r="U976" s="126">
        <v>3226.2975059992341</v>
      </c>
    </row>
    <row r="977" spans="1:21" s="67" customFormat="1" ht="61.5" x14ac:dyDescent="0.9">
      <c r="A977" s="67">
        <v>1</v>
      </c>
      <c r="B977" s="118">
        <f>SUBTOTAL(103,$A$890:A977)</f>
        <v>86</v>
      </c>
      <c r="C977" s="115" t="s">
        <v>451</v>
      </c>
      <c r="D977" s="122">
        <v>1974</v>
      </c>
      <c r="E977" s="127"/>
      <c r="F977" s="127" t="s">
        <v>274</v>
      </c>
      <c r="G977" s="122">
        <v>9</v>
      </c>
      <c r="H977" s="122">
        <v>2</v>
      </c>
      <c r="I977" s="123">
        <v>5409.4</v>
      </c>
      <c r="J977" s="123">
        <v>4377.3999999999996</v>
      </c>
      <c r="K977" s="123">
        <v>4227.7</v>
      </c>
      <c r="L977" s="124">
        <v>190</v>
      </c>
      <c r="M977" s="122" t="s">
        <v>272</v>
      </c>
      <c r="N977" s="122" t="s">
        <v>276</v>
      </c>
      <c r="O977" s="125" t="s">
        <v>1061</v>
      </c>
      <c r="P977" s="126">
        <v>4331631.53</v>
      </c>
      <c r="Q977" s="126">
        <v>0</v>
      </c>
      <c r="R977" s="126">
        <v>0</v>
      </c>
      <c r="S977" s="126">
        <f t="shared" si="334"/>
        <v>4331631.53</v>
      </c>
      <c r="T977" s="126">
        <f t="shared" si="335"/>
        <v>800.76007135726707</v>
      </c>
      <c r="U977" s="126">
        <v>831.25781047805674</v>
      </c>
    </row>
    <row r="978" spans="1:21" s="67" customFormat="1" ht="61.5" x14ac:dyDescent="0.9">
      <c r="A978" s="67">
        <v>1</v>
      </c>
      <c r="B978" s="118">
        <f>SUBTOTAL(103,$A$890:A978)</f>
        <v>87</v>
      </c>
      <c r="C978" s="115" t="s">
        <v>452</v>
      </c>
      <c r="D978" s="122">
        <v>1958</v>
      </c>
      <c r="E978" s="127"/>
      <c r="F978" s="127" t="s">
        <v>274</v>
      </c>
      <c r="G978" s="122">
        <v>2</v>
      </c>
      <c r="H978" s="122">
        <v>2</v>
      </c>
      <c r="I978" s="123">
        <v>717.8</v>
      </c>
      <c r="J978" s="123">
        <v>649.4</v>
      </c>
      <c r="K978" s="123">
        <v>507.29999999999995</v>
      </c>
      <c r="L978" s="124">
        <v>47</v>
      </c>
      <c r="M978" s="122" t="s">
        <v>272</v>
      </c>
      <c r="N978" s="122" t="s">
        <v>276</v>
      </c>
      <c r="O978" s="125" t="s">
        <v>335</v>
      </c>
      <c r="P978" s="126">
        <v>2789948.7</v>
      </c>
      <c r="Q978" s="126">
        <v>0</v>
      </c>
      <c r="R978" s="126">
        <v>0</v>
      </c>
      <c r="S978" s="126">
        <f t="shared" si="334"/>
        <v>2789948.7</v>
      </c>
      <c r="T978" s="126">
        <f t="shared" si="335"/>
        <v>3886.8050989133467</v>
      </c>
      <c r="U978" s="126">
        <v>5641.0448592922821</v>
      </c>
    </row>
    <row r="979" spans="1:21" s="67" customFormat="1" ht="61.5" x14ac:dyDescent="0.9">
      <c r="A979" s="67">
        <v>1</v>
      </c>
      <c r="B979" s="118">
        <f>SUBTOTAL(103,$A$890:A979)</f>
        <v>88</v>
      </c>
      <c r="C979" s="115" t="s">
        <v>453</v>
      </c>
      <c r="D979" s="122">
        <v>1956</v>
      </c>
      <c r="E979" s="127"/>
      <c r="F979" s="127" t="s">
        <v>334</v>
      </c>
      <c r="G979" s="122">
        <v>2</v>
      </c>
      <c r="H979" s="122">
        <v>3</v>
      </c>
      <c r="I979" s="123">
        <v>1239.2</v>
      </c>
      <c r="J979" s="123">
        <v>932.1</v>
      </c>
      <c r="K979" s="123">
        <v>643.79999999999995</v>
      </c>
      <c r="L979" s="124">
        <v>44</v>
      </c>
      <c r="M979" s="122" t="s">
        <v>272</v>
      </c>
      <c r="N979" s="122" t="s">
        <v>276</v>
      </c>
      <c r="O979" s="125" t="s">
        <v>331</v>
      </c>
      <c r="P979" s="126">
        <v>3242314.75</v>
      </c>
      <c r="Q979" s="126">
        <v>0</v>
      </c>
      <c r="R979" s="126">
        <v>0</v>
      </c>
      <c r="S979" s="126">
        <f t="shared" si="334"/>
        <v>3242314.75</v>
      </c>
      <c r="T979" s="126">
        <f t="shared" si="335"/>
        <v>2616.4579970948998</v>
      </c>
      <c r="U979" s="126">
        <v>4068.0937621045837</v>
      </c>
    </row>
    <row r="980" spans="1:21" s="67" customFormat="1" ht="61.5" x14ac:dyDescent="0.9">
      <c r="A980" s="67">
        <v>1</v>
      </c>
      <c r="B980" s="118">
        <f>SUBTOTAL(103,$A$890:A980)</f>
        <v>89</v>
      </c>
      <c r="C980" s="115" t="s">
        <v>454</v>
      </c>
      <c r="D980" s="122">
        <v>1968</v>
      </c>
      <c r="E980" s="127"/>
      <c r="F980" s="127" t="s">
        <v>274</v>
      </c>
      <c r="G980" s="122">
        <v>3</v>
      </c>
      <c r="H980" s="122">
        <v>2</v>
      </c>
      <c r="I980" s="123">
        <v>1032.5</v>
      </c>
      <c r="J980" s="123">
        <v>644</v>
      </c>
      <c r="K980" s="123">
        <v>445.9</v>
      </c>
      <c r="L980" s="124">
        <v>76</v>
      </c>
      <c r="M980" s="122" t="s">
        <v>272</v>
      </c>
      <c r="N980" s="122" t="s">
        <v>276</v>
      </c>
      <c r="O980" s="125" t="s">
        <v>338</v>
      </c>
      <c r="P980" s="126">
        <v>2210461.9000000004</v>
      </c>
      <c r="Q980" s="126">
        <v>0</v>
      </c>
      <c r="R980" s="126">
        <v>0</v>
      </c>
      <c r="S980" s="126">
        <f t="shared" si="334"/>
        <v>2210461.9000000004</v>
      </c>
      <c r="T980" s="126">
        <f t="shared" si="335"/>
        <v>2140.8831961259084</v>
      </c>
      <c r="U980" s="126">
        <v>3156.9581694915255</v>
      </c>
    </row>
    <row r="981" spans="1:21" s="67" customFormat="1" ht="61.5" x14ac:dyDescent="0.9">
      <c r="A981" s="67">
        <v>1</v>
      </c>
      <c r="B981" s="118">
        <f>SUBTOTAL(103,$A$890:A981)</f>
        <v>90</v>
      </c>
      <c r="C981" s="115" t="s">
        <v>455</v>
      </c>
      <c r="D981" s="122">
        <v>1969</v>
      </c>
      <c r="E981" s="127"/>
      <c r="F981" s="127" t="s">
        <v>274</v>
      </c>
      <c r="G981" s="122">
        <v>5</v>
      </c>
      <c r="H981" s="122">
        <v>6</v>
      </c>
      <c r="I981" s="123">
        <v>5048.3000000000011</v>
      </c>
      <c r="J981" s="123">
        <v>4487.6000000000004</v>
      </c>
      <c r="K981" s="123">
        <v>3957.13</v>
      </c>
      <c r="L981" s="124">
        <v>204</v>
      </c>
      <c r="M981" s="122" t="s">
        <v>272</v>
      </c>
      <c r="N981" s="122" t="s">
        <v>276</v>
      </c>
      <c r="O981" s="125" t="s">
        <v>338</v>
      </c>
      <c r="P981" s="126">
        <v>7557284.3099999996</v>
      </c>
      <c r="Q981" s="126">
        <v>0</v>
      </c>
      <c r="R981" s="126">
        <v>0</v>
      </c>
      <c r="S981" s="126">
        <f t="shared" si="334"/>
        <v>7557284.3099999996</v>
      </c>
      <c r="T981" s="126">
        <f t="shared" si="335"/>
        <v>1496.9958817819856</v>
      </c>
      <c r="U981" s="126">
        <v>2006.5375611592017</v>
      </c>
    </row>
    <row r="982" spans="1:21" s="67" customFormat="1" ht="61.5" x14ac:dyDescent="0.9">
      <c r="A982" s="67">
        <v>1</v>
      </c>
      <c r="B982" s="118">
        <f>SUBTOTAL(103,$A$890:A982)</f>
        <v>91</v>
      </c>
      <c r="C982" s="115" t="s">
        <v>456</v>
      </c>
      <c r="D982" s="122">
        <v>1943</v>
      </c>
      <c r="E982" s="127"/>
      <c r="F982" s="127" t="s">
        <v>274</v>
      </c>
      <c r="G982" s="122">
        <v>2</v>
      </c>
      <c r="H982" s="122">
        <v>2</v>
      </c>
      <c r="I982" s="123">
        <v>715.9</v>
      </c>
      <c r="J982" s="123">
        <v>646.9</v>
      </c>
      <c r="K982" s="123">
        <v>547.55999999999995</v>
      </c>
      <c r="L982" s="124">
        <v>35</v>
      </c>
      <c r="M982" s="122" t="s">
        <v>272</v>
      </c>
      <c r="N982" s="122" t="s">
        <v>276</v>
      </c>
      <c r="O982" s="125" t="s">
        <v>335</v>
      </c>
      <c r="P982" s="126">
        <v>3073377.74</v>
      </c>
      <c r="Q982" s="126">
        <v>0</v>
      </c>
      <c r="R982" s="126">
        <v>0</v>
      </c>
      <c r="S982" s="126">
        <f t="shared" si="334"/>
        <v>3073377.74</v>
      </c>
      <c r="T982" s="126">
        <f t="shared" si="335"/>
        <v>4293.0265958932814</v>
      </c>
      <c r="U982" s="126">
        <v>5656.0162033803608</v>
      </c>
    </row>
    <row r="983" spans="1:21" s="67" customFormat="1" ht="61.5" x14ac:dyDescent="0.9">
      <c r="A983" s="67">
        <v>1</v>
      </c>
      <c r="B983" s="118">
        <f>SUBTOTAL(103,$A$890:A983)</f>
        <v>92</v>
      </c>
      <c r="C983" s="115" t="s">
        <v>457</v>
      </c>
      <c r="D983" s="122">
        <v>1917</v>
      </c>
      <c r="E983" s="127"/>
      <c r="F983" s="127" t="s">
        <v>340</v>
      </c>
      <c r="G983" s="122">
        <v>2</v>
      </c>
      <c r="H983" s="122">
        <v>2</v>
      </c>
      <c r="I983" s="123">
        <v>643.4</v>
      </c>
      <c r="J983" s="123">
        <v>521.79999999999995</v>
      </c>
      <c r="K983" s="123">
        <v>423.09999999999997</v>
      </c>
      <c r="L983" s="124">
        <v>21</v>
      </c>
      <c r="M983" s="122" t="s">
        <v>272</v>
      </c>
      <c r="N983" s="122" t="s">
        <v>276</v>
      </c>
      <c r="O983" s="125" t="s">
        <v>331</v>
      </c>
      <c r="P983" s="126">
        <v>1665415</v>
      </c>
      <c r="Q983" s="126">
        <v>0</v>
      </c>
      <c r="R983" s="126">
        <v>0</v>
      </c>
      <c r="S983" s="126">
        <f t="shared" si="334"/>
        <v>1665415</v>
      </c>
      <c r="T983" s="126">
        <f t="shared" si="335"/>
        <v>2588.4597451041345</v>
      </c>
      <c r="U983" s="126">
        <v>3870.4108330742929</v>
      </c>
    </row>
    <row r="984" spans="1:21" s="67" customFormat="1" ht="61.5" x14ac:dyDescent="0.9">
      <c r="A984" s="67">
        <v>1</v>
      </c>
      <c r="B984" s="118">
        <f>SUBTOTAL(103,$A$890:A984)</f>
        <v>93</v>
      </c>
      <c r="C984" s="115" t="s">
        <v>215</v>
      </c>
      <c r="D984" s="122">
        <v>1967</v>
      </c>
      <c r="E984" s="127"/>
      <c r="F984" s="127" t="s">
        <v>274</v>
      </c>
      <c r="G984" s="122">
        <v>2</v>
      </c>
      <c r="H984" s="122">
        <v>2</v>
      </c>
      <c r="I984" s="123">
        <v>678.4</v>
      </c>
      <c r="J984" s="123">
        <v>629.79999999999995</v>
      </c>
      <c r="K984" s="123">
        <v>589.79999999999995</v>
      </c>
      <c r="L984" s="124">
        <v>37</v>
      </c>
      <c r="M984" s="122" t="s">
        <v>272</v>
      </c>
      <c r="N984" s="122" t="s">
        <v>276</v>
      </c>
      <c r="O984" s="125" t="s">
        <v>337</v>
      </c>
      <c r="P984" s="126">
        <v>2384110.7700000005</v>
      </c>
      <c r="Q984" s="126">
        <v>0</v>
      </c>
      <c r="R984" s="126">
        <v>0</v>
      </c>
      <c r="S984" s="126">
        <f t="shared" si="334"/>
        <v>2384110.7700000005</v>
      </c>
      <c r="T984" s="126">
        <f t="shared" si="335"/>
        <v>3514.3142246462271</v>
      </c>
      <c r="U984" s="126">
        <v>5222.5814416273588</v>
      </c>
    </row>
    <row r="985" spans="1:21" s="67" customFormat="1" ht="61.5" x14ac:dyDescent="0.9">
      <c r="A985" s="67">
        <v>1</v>
      </c>
      <c r="B985" s="118">
        <f>SUBTOTAL(103,$A$890:A985)</f>
        <v>94</v>
      </c>
      <c r="C985" s="115" t="s">
        <v>214</v>
      </c>
      <c r="D985" s="122">
        <v>1975</v>
      </c>
      <c r="E985" s="127"/>
      <c r="F985" s="127" t="s">
        <v>274</v>
      </c>
      <c r="G985" s="122">
        <v>2</v>
      </c>
      <c r="H985" s="122">
        <v>2</v>
      </c>
      <c r="I985" s="123">
        <v>817.4</v>
      </c>
      <c r="J985" s="123">
        <v>756.3</v>
      </c>
      <c r="K985" s="123">
        <v>652</v>
      </c>
      <c r="L985" s="124">
        <v>43</v>
      </c>
      <c r="M985" s="122" t="s">
        <v>272</v>
      </c>
      <c r="N985" s="122" t="s">
        <v>276</v>
      </c>
      <c r="O985" s="125" t="s">
        <v>337</v>
      </c>
      <c r="P985" s="126">
        <v>2817533.3499999996</v>
      </c>
      <c r="Q985" s="126">
        <v>0</v>
      </c>
      <c r="R985" s="126">
        <v>0</v>
      </c>
      <c r="S985" s="126">
        <f t="shared" si="334"/>
        <v>2817533.3499999996</v>
      </c>
      <c r="T985" s="126">
        <f t="shared" si="335"/>
        <v>3446.9456202593587</v>
      </c>
      <c r="U985" s="126">
        <v>5069.2708343528266</v>
      </c>
    </row>
    <row r="986" spans="1:21" s="67" customFormat="1" ht="61.5" x14ac:dyDescent="0.9">
      <c r="A986" s="67">
        <v>1</v>
      </c>
      <c r="B986" s="118">
        <f>SUBTOTAL(103,$A$890:A986)</f>
        <v>95</v>
      </c>
      <c r="C986" s="115" t="s">
        <v>458</v>
      </c>
      <c r="D986" s="122">
        <v>1994</v>
      </c>
      <c r="E986" s="127"/>
      <c r="F986" s="127" t="s">
        <v>321</v>
      </c>
      <c r="G986" s="122">
        <v>9</v>
      </c>
      <c r="H986" s="122">
        <v>2</v>
      </c>
      <c r="I986" s="123">
        <v>4306.3</v>
      </c>
      <c r="J986" s="123">
        <v>3871</v>
      </c>
      <c r="K986" s="123">
        <v>3511.4</v>
      </c>
      <c r="L986" s="124">
        <v>173</v>
      </c>
      <c r="M986" s="122" t="s">
        <v>272</v>
      </c>
      <c r="N986" s="122" t="s">
        <v>276</v>
      </c>
      <c r="O986" s="125" t="s">
        <v>331</v>
      </c>
      <c r="P986" s="126">
        <v>4331631.53</v>
      </c>
      <c r="Q986" s="126">
        <v>0</v>
      </c>
      <c r="R986" s="126">
        <v>0</v>
      </c>
      <c r="S986" s="126">
        <f t="shared" si="334"/>
        <v>4331631.53</v>
      </c>
      <c r="T986" s="126">
        <f t="shared" si="335"/>
        <v>1005.8824350370388</v>
      </c>
      <c r="U986" s="126">
        <v>1044.1924622065346</v>
      </c>
    </row>
    <row r="987" spans="1:21" s="67" customFormat="1" ht="61.5" x14ac:dyDescent="0.9">
      <c r="A987" s="67">
        <v>1</v>
      </c>
      <c r="B987" s="118">
        <f>SUBTOTAL(103,$A$890:A987)</f>
        <v>96</v>
      </c>
      <c r="C987" s="115" t="s">
        <v>459</v>
      </c>
      <c r="D987" s="122">
        <v>1950</v>
      </c>
      <c r="E987" s="127"/>
      <c r="F987" s="127" t="s">
        <v>274</v>
      </c>
      <c r="G987" s="122">
        <v>2</v>
      </c>
      <c r="H987" s="122">
        <v>1</v>
      </c>
      <c r="I987" s="123">
        <v>411.15</v>
      </c>
      <c r="J987" s="123">
        <v>369.45</v>
      </c>
      <c r="K987" s="123">
        <v>369.45</v>
      </c>
      <c r="L987" s="124">
        <v>17</v>
      </c>
      <c r="M987" s="122" t="s">
        <v>272</v>
      </c>
      <c r="N987" s="122" t="s">
        <v>276</v>
      </c>
      <c r="O987" s="125" t="s">
        <v>331</v>
      </c>
      <c r="P987" s="126">
        <v>1660239.97</v>
      </c>
      <c r="Q987" s="126">
        <v>0</v>
      </c>
      <c r="R987" s="126">
        <v>0</v>
      </c>
      <c r="S987" s="126">
        <f t="shared" si="334"/>
        <v>1660239.97</v>
      </c>
      <c r="T987" s="126">
        <f t="shared" si="335"/>
        <v>4038.0395719323851</v>
      </c>
      <c r="U987" s="126">
        <v>6073.1385139243584</v>
      </c>
    </row>
    <row r="988" spans="1:21" s="67" customFormat="1" ht="61.5" x14ac:dyDescent="0.9">
      <c r="A988" s="67">
        <v>1</v>
      </c>
      <c r="B988" s="118">
        <f>SUBTOTAL(103,$A$890:A988)</f>
        <v>97</v>
      </c>
      <c r="C988" s="115" t="s">
        <v>460</v>
      </c>
      <c r="D988" s="122">
        <v>1966</v>
      </c>
      <c r="E988" s="127"/>
      <c r="F988" s="127" t="s">
        <v>274</v>
      </c>
      <c r="G988" s="122">
        <v>2</v>
      </c>
      <c r="H988" s="122">
        <v>2</v>
      </c>
      <c r="I988" s="123">
        <v>667.6</v>
      </c>
      <c r="J988" s="123">
        <v>626.5</v>
      </c>
      <c r="K988" s="123">
        <v>586.70000000000005</v>
      </c>
      <c r="L988" s="124">
        <v>37</v>
      </c>
      <c r="M988" s="122" t="s">
        <v>272</v>
      </c>
      <c r="N988" s="122" t="s">
        <v>276</v>
      </c>
      <c r="O988" s="125" t="s">
        <v>337</v>
      </c>
      <c r="P988" s="126">
        <v>2407235.63</v>
      </c>
      <c r="Q988" s="126">
        <v>0</v>
      </c>
      <c r="R988" s="126">
        <v>0</v>
      </c>
      <c r="S988" s="126">
        <f t="shared" si="334"/>
        <v>2407235.63</v>
      </c>
      <c r="T988" s="126">
        <f t="shared" si="335"/>
        <v>3605.8053175554223</v>
      </c>
      <c r="U988" s="126">
        <v>5357.612492510485</v>
      </c>
    </row>
    <row r="989" spans="1:21" s="67" customFormat="1" ht="61.5" x14ac:dyDescent="0.9">
      <c r="A989" s="67">
        <v>1</v>
      </c>
      <c r="B989" s="118">
        <f>SUBTOTAL(103,$A$890:A989)</f>
        <v>98</v>
      </c>
      <c r="C989" s="115" t="s">
        <v>461</v>
      </c>
      <c r="D989" s="122">
        <v>1977</v>
      </c>
      <c r="E989" s="127"/>
      <c r="F989" s="127" t="s">
        <v>274</v>
      </c>
      <c r="G989" s="122">
        <v>9</v>
      </c>
      <c r="H989" s="122">
        <v>1</v>
      </c>
      <c r="I989" s="123">
        <v>2576</v>
      </c>
      <c r="J989" s="123">
        <v>2212.6999999999998</v>
      </c>
      <c r="K989" s="123">
        <v>2123.6999999999998</v>
      </c>
      <c r="L989" s="124">
        <v>106</v>
      </c>
      <c r="M989" s="122" t="s">
        <v>272</v>
      </c>
      <c r="N989" s="122" t="s">
        <v>276</v>
      </c>
      <c r="O989" s="125" t="s">
        <v>337</v>
      </c>
      <c r="P989" s="126">
        <v>1790689.27</v>
      </c>
      <c r="Q989" s="126">
        <v>0</v>
      </c>
      <c r="R989" s="126">
        <v>0</v>
      </c>
      <c r="S989" s="126">
        <f t="shared" si="334"/>
        <v>1790689.27</v>
      </c>
      <c r="T989" s="126">
        <f t="shared" si="335"/>
        <v>695.14335015527956</v>
      </c>
      <c r="U989" s="126">
        <v>1037.435450310559</v>
      </c>
    </row>
    <row r="990" spans="1:21" s="67" customFormat="1" ht="61.5" x14ac:dyDescent="0.9">
      <c r="A990" s="67">
        <v>1</v>
      </c>
      <c r="B990" s="118">
        <f>SUBTOTAL(103,$A$890:A990)</f>
        <v>99</v>
      </c>
      <c r="C990" s="115" t="s">
        <v>866</v>
      </c>
      <c r="D990" s="122">
        <v>1988</v>
      </c>
      <c r="E990" s="127"/>
      <c r="F990" s="127" t="s">
        <v>274</v>
      </c>
      <c r="G990" s="122">
        <v>9</v>
      </c>
      <c r="H990" s="122">
        <v>3</v>
      </c>
      <c r="I990" s="123">
        <v>6719</v>
      </c>
      <c r="J990" s="123">
        <v>5795.4</v>
      </c>
      <c r="K990" s="123">
        <v>5264.2</v>
      </c>
      <c r="L990" s="124">
        <v>304</v>
      </c>
      <c r="M990" s="122" t="s">
        <v>272</v>
      </c>
      <c r="N990" s="122" t="s">
        <v>276</v>
      </c>
      <c r="O990" s="125" t="s">
        <v>1042</v>
      </c>
      <c r="P990" s="126">
        <v>6300000</v>
      </c>
      <c r="Q990" s="126">
        <v>0</v>
      </c>
      <c r="R990" s="126">
        <v>0</v>
      </c>
      <c r="S990" s="126">
        <f t="shared" si="334"/>
        <v>6300000</v>
      </c>
      <c r="T990" s="126">
        <f t="shared" si="335"/>
        <v>937.63952969191848</v>
      </c>
      <c r="U990" s="126">
        <v>1003.8560797737758</v>
      </c>
    </row>
    <row r="991" spans="1:21" s="67" customFormat="1" ht="61.5" x14ac:dyDescent="0.9">
      <c r="B991" s="115" t="s">
        <v>832</v>
      </c>
      <c r="C991" s="115"/>
      <c r="D991" s="122" t="s">
        <v>943</v>
      </c>
      <c r="E991" s="122" t="s">
        <v>943</v>
      </c>
      <c r="F991" s="122" t="s">
        <v>943</v>
      </c>
      <c r="G991" s="122" t="s">
        <v>943</v>
      </c>
      <c r="H991" s="122" t="s">
        <v>943</v>
      </c>
      <c r="I991" s="123">
        <f>SUM(I992:I1002)</f>
        <v>29129.910000000003</v>
      </c>
      <c r="J991" s="123">
        <f t="shared" ref="J991:L991" si="336">SUM(J992:J1002)</f>
        <v>20263.3</v>
      </c>
      <c r="K991" s="123">
        <f t="shared" si="336"/>
        <v>19674.400000000001</v>
      </c>
      <c r="L991" s="124">
        <f t="shared" si="336"/>
        <v>890</v>
      </c>
      <c r="M991" s="122" t="s">
        <v>943</v>
      </c>
      <c r="N991" s="122" t="s">
        <v>943</v>
      </c>
      <c r="O991" s="125" t="s">
        <v>943</v>
      </c>
      <c r="P991" s="123">
        <v>44137673.11999999</v>
      </c>
      <c r="Q991" s="123">
        <f t="shared" ref="Q991:S991" si="337">SUM(Q992:Q1002)</f>
        <v>0</v>
      </c>
      <c r="R991" s="123">
        <f t="shared" si="337"/>
        <v>0</v>
      </c>
      <c r="S991" s="123">
        <f t="shared" si="337"/>
        <v>44137673.11999999</v>
      </c>
      <c r="T991" s="126">
        <f t="shared" si="335"/>
        <v>1515.2011496087694</v>
      </c>
      <c r="U991" s="126">
        <f>MAX(U992:U1002)</f>
        <v>6882.9325360945013</v>
      </c>
    </row>
    <row r="992" spans="1:21" s="67" customFormat="1" ht="61.5" x14ac:dyDescent="0.9">
      <c r="A992" s="67">
        <v>1</v>
      </c>
      <c r="B992" s="118">
        <f>SUBTOTAL(103,$A$890:A992)</f>
        <v>100</v>
      </c>
      <c r="C992" s="115" t="s">
        <v>833</v>
      </c>
      <c r="D992" s="122">
        <v>1961</v>
      </c>
      <c r="E992" s="127"/>
      <c r="F992" s="127" t="s">
        <v>274</v>
      </c>
      <c r="G992" s="122">
        <v>3</v>
      </c>
      <c r="H992" s="122">
        <v>2</v>
      </c>
      <c r="I992" s="123">
        <v>1044</v>
      </c>
      <c r="J992" s="123">
        <v>968.1</v>
      </c>
      <c r="K992" s="123">
        <v>968.1</v>
      </c>
      <c r="L992" s="124">
        <v>46</v>
      </c>
      <c r="M992" s="122" t="s">
        <v>272</v>
      </c>
      <c r="N992" s="122" t="s">
        <v>276</v>
      </c>
      <c r="O992" s="125" t="s">
        <v>852</v>
      </c>
      <c r="P992" s="126">
        <v>2532230.7999999998</v>
      </c>
      <c r="Q992" s="126">
        <v>0</v>
      </c>
      <c r="R992" s="126">
        <v>0</v>
      </c>
      <c r="S992" s="126">
        <f t="shared" ref="S992:S1002" si="338">P992-Q992-R992</f>
        <v>2532230.7999999998</v>
      </c>
      <c r="T992" s="126">
        <f t="shared" si="335"/>
        <v>2425.5084291187736</v>
      </c>
      <c r="U992" s="126">
        <v>3270.8586398467432</v>
      </c>
    </row>
    <row r="993" spans="1:21" s="67" customFormat="1" ht="61.5" x14ac:dyDescent="0.9">
      <c r="A993" s="67">
        <v>1</v>
      </c>
      <c r="B993" s="118">
        <f>SUBTOTAL(103,$A$890:A993)</f>
        <v>101</v>
      </c>
      <c r="C993" s="115" t="s">
        <v>834</v>
      </c>
      <c r="D993" s="122">
        <v>1960</v>
      </c>
      <c r="E993" s="127"/>
      <c r="F993" s="127" t="s">
        <v>274</v>
      </c>
      <c r="G993" s="122">
        <v>2</v>
      </c>
      <c r="H993" s="122">
        <v>2</v>
      </c>
      <c r="I993" s="123">
        <v>711.5</v>
      </c>
      <c r="J993" s="123">
        <v>515.1</v>
      </c>
      <c r="K993" s="123">
        <v>515.1</v>
      </c>
      <c r="L993" s="124">
        <v>13</v>
      </c>
      <c r="M993" s="122" t="s">
        <v>272</v>
      </c>
      <c r="N993" s="122" t="s">
        <v>273</v>
      </c>
      <c r="O993" s="125" t="s">
        <v>275</v>
      </c>
      <c r="P993" s="126">
        <v>2386020.4</v>
      </c>
      <c r="Q993" s="126">
        <v>0</v>
      </c>
      <c r="R993" s="126">
        <v>0</v>
      </c>
      <c r="S993" s="126">
        <f t="shared" si="338"/>
        <v>2386020.4</v>
      </c>
      <c r="T993" s="126">
        <f t="shared" si="335"/>
        <v>3353.5072382290932</v>
      </c>
      <c r="U993" s="126">
        <v>4533.8249613492617</v>
      </c>
    </row>
    <row r="994" spans="1:21" s="67" customFormat="1" ht="61.5" x14ac:dyDescent="0.9">
      <c r="A994" s="67">
        <v>1</v>
      </c>
      <c r="B994" s="118">
        <f>SUBTOTAL(103,$A$890:A994)</f>
        <v>102</v>
      </c>
      <c r="C994" s="115" t="s">
        <v>1154</v>
      </c>
      <c r="D994" s="122">
        <v>1962</v>
      </c>
      <c r="E994" s="127"/>
      <c r="F994" s="127" t="s">
        <v>274</v>
      </c>
      <c r="G994" s="122">
        <v>4</v>
      </c>
      <c r="H994" s="122">
        <v>2</v>
      </c>
      <c r="I994" s="123">
        <v>1321.3</v>
      </c>
      <c r="J994" s="123">
        <v>1280</v>
      </c>
      <c r="K994" s="123">
        <v>975</v>
      </c>
      <c r="L994" s="124">
        <v>60</v>
      </c>
      <c r="M994" s="122" t="s">
        <v>272</v>
      </c>
      <c r="N994" s="122" t="s">
        <v>276</v>
      </c>
      <c r="O994" s="125" t="s">
        <v>856</v>
      </c>
      <c r="P994" s="126">
        <v>3009600</v>
      </c>
      <c r="Q994" s="126">
        <v>0</v>
      </c>
      <c r="R994" s="126">
        <v>0</v>
      </c>
      <c r="S994" s="126">
        <f t="shared" si="338"/>
        <v>3009600</v>
      </c>
      <c r="T994" s="126">
        <f t="shared" si="335"/>
        <v>2277.7567547112694</v>
      </c>
      <c r="U994" s="126">
        <v>3202.4168546128813</v>
      </c>
    </row>
    <row r="995" spans="1:21" s="67" customFormat="1" ht="61.5" x14ac:dyDescent="0.9">
      <c r="A995" s="67">
        <v>1</v>
      </c>
      <c r="B995" s="118">
        <f>SUBTOTAL(103,$A$890:A995)</f>
        <v>103</v>
      </c>
      <c r="C995" s="115" t="s">
        <v>836</v>
      </c>
      <c r="D995" s="122">
        <v>1991</v>
      </c>
      <c r="E995" s="127"/>
      <c r="F995" s="127" t="s">
        <v>328</v>
      </c>
      <c r="G995" s="122">
        <v>9</v>
      </c>
      <c r="H995" s="122">
        <v>4</v>
      </c>
      <c r="I995" s="123">
        <v>10990.1</v>
      </c>
      <c r="J995" s="123">
        <v>7793.3</v>
      </c>
      <c r="K995" s="123">
        <v>7793.3</v>
      </c>
      <c r="L995" s="124">
        <v>318</v>
      </c>
      <c r="M995" s="122" t="s">
        <v>272</v>
      </c>
      <c r="N995" s="122" t="s">
        <v>276</v>
      </c>
      <c r="O995" s="125" t="s">
        <v>858</v>
      </c>
      <c r="P995" s="126">
        <v>8452796.0600000005</v>
      </c>
      <c r="Q995" s="126">
        <v>0</v>
      </c>
      <c r="R995" s="126">
        <v>0</v>
      </c>
      <c r="S995" s="126">
        <f t="shared" si="338"/>
        <v>8452796.0600000005</v>
      </c>
      <c r="T995" s="126">
        <f t="shared" si="335"/>
        <v>769.12822085331345</v>
      </c>
      <c r="U995" s="126">
        <v>818.30119835124333</v>
      </c>
    </row>
    <row r="996" spans="1:21" s="67" customFormat="1" ht="61.5" x14ac:dyDescent="0.9">
      <c r="A996" s="67">
        <v>1</v>
      </c>
      <c r="B996" s="118">
        <f>SUBTOTAL(103,$A$890:A996)</f>
        <v>104</v>
      </c>
      <c r="C996" s="115" t="s">
        <v>838</v>
      </c>
      <c r="D996" s="122">
        <v>1959</v>
      </c>
      <c r="E996" s="127"/>
      <c r="F996" s="127" t="s">
        <v>274</v>
      </c>
      <c r="G996" s="122">
        <v>4</v>
      </c>
      <c r="H996" s="122">
        <v>2</v>
      </c>
      <c r="I996" s="123">
        <v>2758</v>
      </c>
      <c r="J996" s="123">
        <v>809</v>
      </c>
      <c r="K996" s="123">
        <v>809</v>
      </c>
      <c r="L996" s="124">
        <v>67</v>
      </c>
      <c r="M996" s="122" t="s">
        <v>272</v>
      </c>
      <c r="N996" s="122" t="s">
        <v>276</v>
      </c>
      <c r="O996" s="125" t="s">
        <v>856</v>
      </c>
      <c r="P996" s="126">
        <v>6961648</v>
      </c>
      <c r="Q996" s="126">
        <v>0</v>
      </c>
      <c r="R996" s="126">
        <v>0</v>
      </c>
      <c r="S996" s="126">
        <f t="shared" si="338"/>
        <v>6961648</v>
      </c>
      <c r="T996" s="126">
        <f t="shared" si="335"/>
        <v>2524.16533720087</v>
      </c>
      <c r="U996" s="126">
        <v>3327.7937635968092</v>
      </c>
    </row>
    <row r="997" spans="1:21" s="67" customFormat="1" ht="61.5" x14ac:dyDescent="0.9">
      <c r="A997" s="67">
        <v>1</v>
      </c>
      <c r="B997" s="118">
        <f>SUBTOTAL(103,$A$890:A997)</f>
        <v>105</v>
      </c>
      <c r="C997" s="115" t="s">
        <v>839</v>
      </c>
      <c r="D997" s="122">
        <v>1960</v>
      </c>
      <c r="E997" s="127"/>
      <c r="F997" s="127" t="s">
        <v>274</v>
      </c>
      <c r="G997" s="122">
        <v>3</v>
      </c>
      <c r="H997" s="122">
        <v>2</v>
      </c>
      <c r="I997" s="123">
        <v>1352</v>
      </c>
      <c r="J997" s="123">
        <v>970.4</v>
      </c>
      <c r="K997" s="123">
        <v>970.4</v>
      </c>
      <c r="L997" s="124">
        <v>57</v>
      </c>
      <c r="M997" s="122" t="s">
        <v>272</v>
      </c>
      <c r="N997" s="122" t="s">
        <v>273</v>
      </c>
      <c r="O997" s="125" t="s">
        <v>275</v>
      </c>
      <c r="P997" s="126">
        <v>3278948.1999999997</v>
      </c>
      <c r="Q997" s="126">
        <v>0</v>
      </c>
      <c r="R997" s="126">
        <v>0</v>
      </c>
      <c r="S997" s="126">
        <f t="shared" si="338"/>
        <v>3278948.1999999997</v>
      </c>
      <c r="T997" s="126">
        <f t="shared" si="335"/>
        <v>2425.2575443786982</v>
      </c>
      <c r="U997" s="126">
        <v>3239.5132618343191</v>
      </c>
    </row>
    <row r="998" spans="1:21" s="67" customFormat="1" ht="61.5" x14ac:dyDescent="0.9">
      <c r="A998" s="67">
        <v>1</v>
      </c>
      <c r="B998" s="118">
        <f>SUBTOTAL(103,$A$890:A998)</f>
        <v>106</v>
      </c>
      <c r="C998" s="115" t="s">
        <v>837</v>
      </c>
      <c r="D998" s="122">
        <v>1937</v>
      </c>
      <c r="E998" s="127"/>
      <c r="F998" s="127" t="s">
        <v>274</v>
      </c>
      <c r="G998" s="122">
        <v>3</v>
      </c>
      <c r="H998" s="122">
        <v>4</v>
      </c>
      <c r="I998" s="123">
        <v>1090.8</v>
      </c>
      <c r="J998" s="123">
        <v>970.4</v>
      </c>
      <c r="K998" s="123">
        <v>854.9</v>
      </c>
      <c r="L998" s="124">
        <v>62</v>
      </c>
      <c r="M998" s="122" t="s">
        <v>272</v>
      </c>
      <c r="N998" s="122" t="s">
        <v>273</v>
      </c>
      <c r="O998" s="125" t="s">
        <v>275</v>
      </c>
      <c r="P998" s="126">
        <v>3315500.8</v>
      </c>
      <c r="Q998" s="126">
        <v>0</v>
      </c>
      <c r="R998" s="126">
        <v>0</v>
      </c>
      <c r="S998" s="126">
        <f t="shared" si="338"/>
        <v>3315500.8</v>
      </c>
      <c r="T998" s="126">
        <f t="shared" si="335"/>
        <v>3039.5130179684634</v>
      </c>
      <c r="U998" s="126">
        <v>4058.5459479281262</v>
      </c>
    </row>
    <row r="999" spans="1:21" s="67" customFormat="1" ht="61.5" x14ac:dyDescent="0.9">
      <c r="A999" s="67">
        <v>1</v>
      </c>
      <c r="B999" s="118">
        <f>SUBTOTAL(103,$A$890:A999)</f>
        <v>107</v>
      </c>
      <c r="C999" s="115" t="s">
        <v>840</v>
      </c>
      <c r="D999" s="122">
        <v>1965</v>
      </c>
      <c r="E999" s="127"/>
      <c r="F999" s="127" t="s">
        <v>274</v>
      </c>
      <c r="G999" s="122">
        <v>5</v>
      </c>
      <c r="H999" s="122">
        <v>2</v>
      </c>
      <c r="I999" s="123">
        <v>2042.45</v>
      </c>
      <c r="J999" s="123">
        <v>1565</v>
      </c>
      <c r="K999" s="123">
        <v>1565</v>
      </c>
      <c r="L999" s="124">
        <v>65</v>
      </c>
      <c r="M999" s="122" t="s">
        <v>272</v>
      </c>
      <c r="N999" s="122" t="s">
        <v>276</v>
      </c>
      <c r="O999" s="125" t="s">
        <v>854</v>
      </c>
      <c r="P999" s="126">
        <v>3336388</v>
      </c>
      <c r="Q999" s="126">
        <v>0</v>
      </c>
      <c r="R999" s="126">
        <v>0</v>
      </c>
      <c r="S999" s="126">
        <f t="shared" si="338"/>
        <v>3336388</v>
      </c>
      <c r="T999" s="126">
        <f t="shared" si="335"/>
        <v>1633.5224852505569</v>
      </c>
      <c r="U999" s="126">
        <v>2180.7418541457564</v>
      </c>
    </row>
    <row r="1000" spans="1:21" s="67" customFormat="1" ht="61.5" x14ac:dyDescent="0.9">
      <c r="A1000" s="67">
        <v>1</v>
      </c>
      <c r="B1000" s="118">
        <f>SUBTOTAL(103,$A$890:A1000)</f>
        <v>108</v>
      </c>
      <c r="C1000" s="115" t="s">
        <v>841</v>
      </c>
      <c r="D1000" s="122">
        <v>1955</v>
      </c>
      <c r="E1000" s="127"/>
      <c r="F1000" s="127" t="s">
        <v>346</v>
      </c>
      <c r="G1000" s="122">
        <v>2</v>
      </c>
      <c r="H1000" s="122">
        <v>2</v>
      </c>
      <c r="I1000" s="123">
        <v>685.7</v>
      </c>
      <c r="J1000" s="123">
        <v>629.20000000000005</v>
      </c>
      <c r="K1000" s="123">
        <v>629.20000000000005</v>
      </c>
      <c r="L1000" s="124">
        <v>28</v>
      </c>
      <c r="M1000" s="122" t="s">
        <v>272</v>
      </c>
      <c r="N1000" s="122" t="s">
        <v>273</v>
      </c>
      <c r="O1000" s="125" t="s">
        <v>275</v>
      </c>
      <c r="P1000" s="126">
        <v>4001516.58</v>
      </c>
      <c r="Q1000" s="126">
        <v>0</v>
      </c>
      <c r="R1000" s="126">
        <v>0</v>
      </c>
      <c r="S1000" s="126">
        <f t="shared" si="338"/>
        <v>4001516.58</v>
      </c>
      <c r="T1000" s="126">
        <f t="shared" si="335"/>
        <v>5835.6665888872685</v>
      </c>
      <c r="U1000" s="126">
        <v>6882.9325360945013</v>
      </c>
    </row>
    <row r="1001" spans="1:21" s="67" customFormat="1" ht="61.5" x14ac:dyDescent="0.9">
      <c r="A1001" s="67">
        <v>1</v>
      </c>
      <c r="B1001" s="118">
        <f>SUBTOTAL(103,$A$890:A1001)</f>
        <v>109</v>
      </c>
      <c r="C1001" s="115" t="s">
        <v>842</v>
      </c>
      <c r="D1001" s="122">
        <v>1975</v>
      </c>
      <c r="E1001" s="127"/>
      <c r="F1001" s="127" t="s">
        <v>274</v>
      </c>
      <c r="G1001" s="122">
        <v>5</v>
      </c>
      <c r="H1001" s="122">
        <v>6</v>
      </c>
      <c r="I1001" s="123">
        <v>6824.86</v>
      </c>
      <c r="J1001" s="123">
        <v>4475.3</v>
      </c>
      <c r="K1001" s="123">
        <v>4306.8999999999996</v>
      </c>
      <c r="L1001" s="124">
        <v>160</v>
      </c>
      <c r="M1001" s="122" t="s">
        <v>272</v>
      </c>
      <c r="N1001" s="122" t="s">
        <v>276</v>
      </c>
      <c r="O1001" s="125" t="s">
        <v>862</v>
      </c>
      <c r="P1001" s="126">
        <v>5486232.3399999999</v>
      </c>
      <c r="Q1001" s="126">
        <v>0</v>
      </c>
      <c r="R1001" s="126">
        <v>0</v>
      </c>
      <c r="S1001" s="126">
        <f t="shared" si="338"/>
        <v>5486232.3399999999</v>
      </c>
      <c r="T1001" s="126">
        <f t="shared" si="335"/>
        <v>803.86005573740704</v>
      </c>
      <c r="U1001" s="126">
        <v>3697.5499999999997</v>
      </c>
    </row>
    <row r="1002" spans="1:21" s="67" customFormat="1" ht="61.5" x14ac:dyDescent="0.9">
      <c r="A1002" s="67">
        <v>1</v>
      </c>
      <c r="B1002" s="118">
        <f>SUBTOTAL(103,$A$890:A1002)</f>
        <v>110</v>
      </c>
      <c r="C1002" s="115" t="s">
        <v>865</v>
      </c>
      <c r="D1002" s="122">
        <v>1959</v>
      </c>
      <c r="E1002" s="127"/>
      <c r="F1002" s="127" t="s">
        <v>274</v>
      </c>
      <c r="G1002" s="122">
        <v>2</v>
      </c>
      <c r="H1002" s="122">
        <v>1</v>
      </c>
      <c r="I1002" s="123">
        <v>309.2</v>
      </c>
      <c r="J1002" s="123">
        <v>287.5</v>
      </c>
      <c r="K1002" s="123">
        <v>287.5</v>
      </c>
      <c r="L1002" s="124">
        <v>14</v>
      </c>
      <c r="M1002" s="122" t="s">
        <v>272</v>
      </c>
      <c r="N1002" s="122" t="s">
        <v>276</v>
      </c>
      <c r="O1002" s="125" t="s">
        <v>1041</v>
      </c>
      <c r="P1002" s="126">
        <v>1376791.94</v>
      </c>
      <c r="Q1002" s="126">
        <v>0</v>
      </c>
      <c r="R1002" s="126">
        <v>0</v>
      </c>
      <c r="S1002" s="126">
        <f t="shared" si="338"/>
        <v>1376791.94</v>
      </c>
      <c r="T1002" s="126">
        <f t="shared" si="335"/>
        <v>4452.7553040103494</v>
      </c>
      <c r="U1002" s="126">
        <v>5412.8245795601551</v>
      </c>
    </row>
    <row r="1003" spans="1:21" s="67" customFormat="1" ht="61.5" x14ac:dyDescent="0.9">
      <c r="B1003" s="115" t="s">
        <v>808</v>
      </c>
      <c r="C1003" s="119"/>
      <c r="D1003" s="122" t="s">
        <v>943</v>
      </c>
      <c r="E1003" s="122" t="s">
        <v>943</v>
      </c>
      <c r="F1003" s="122" t="s">
        <v>943</v>
      </c>
      <c r="G1003" s="122" t="s">
        <v>943</v>
      </c>
      <c r="H1003" s="122" t="s">
        <v>943</v>
      </c>
      <c r="I1003" s="123">
        <f>I1004+I1005</f>
        <v>13712.7</v>
      </c>
      <c r="J1003" s="123">
        <f t="shared" ref="J1003:L1003" si="339">J1004+J1005</f>
        <v>12166.6</v>
      </c>
      <c r="K1003" s="123">
        <f t="shared" si="339"/>
        <v>11718.300000000001</v>
      </c>
      <c r="L1003" s="124">
        <f t="shared" si="339"/>
        <v>336</v>
      </c>
      <c r="M1003" s="122" t="s">
        <v>943</v>
      </c>
      <c r="N1003" s="122" t="s">
        <v>943</v>
      </c>
      <c r="O1003" s="125" t="s">
        <v>943</v>
      </c>
      <c r="P1003" s="123">
        <v>21856214.649999999</v>
      </c>
      <c r="Q1003" s="123">
        <f t="shared" ref="Q1003:S1003" si="340">Q1004+Q1005</f>
        <v>0</v>
      </c>
      <c r="R1003" s="123">
        <f t="shared" si="340"/>
        <v>0</v>
      </c>
      <c r="S1003" s="123">
        <f t="shared" si="340"/>
        <v>21856214.649999999</v>
      </c>
      <c r="T1003" s="126">
        <f t="shared" si="335"/>
        <v>1593.8666090558386</v>
      </c>
      <c r="U1003" s="126">
        <f>MAX(U1004:U1005)</f>
        <v>5443.8865097684538</v>
      </c>
    </row>
    <row r="1004" spans="1:21" s="67" customFormat="1" ht="61.5" x14ac:dyDescent="0.9">
      <c r="A1004" s="67">
        <v>1</v>
      </c>
      <c r="B1004" s="118">
        <f>SUBTOTAL(103,$A$890:A1004)</f>
        <v>111</v>
      </c>
      <c r="C1004" s="115" t="s">
        <v>403</v>
      </c>
      <c r="D1004" s="122">
        <v>1981</v>
      </c>
      <c r="E1004" s="127">
        <v>2016</v>
      </c>
      <c r="F1004" s="127" t="s">
        <v>321</v>
      </c>
      <c r="G1004" s="122">
        <v>5</v>
      </c>
      <c r="H1004" s="122">
        <v>5</v>
      </c>
      <c r="I1004" s="123">
        <v>3982.4</v>
      </c>
      <c r="J1004" s="123">
        <v>3501.5</v>
      </c>
      <c r="K1004" s="123">
        <v>3375.6</v>
      </c>
      <c r="L1004" s="124">
        <v>162</v>
      </c>
      <c r="M1004" s="122" t="s">
        <v>272</v>
      </c>
      <c r="N1004" s="122" t="s">
        <v>276</v>
      </c>
      <c r="O1004" s="125" t="s">
        <v>329</v>
      </c>
      <c r="P1004" s="126">
        <v>7550257.2599999998</v>
      </c>
      <c r="Q1004" s="126">
        <v>0</v>
      </c>
      <c r="R1004" s="126">
        <v>0</v>
      </c>
      <c r="S1004" s="126">
        <f t="shared" ref="S1004:S1005" si="341">P1004-Q1004-R1004</f>
        <v>7550257.2599999998</v>
      </c>
      <c r="T1004" s="126">
        <f t="shared" si="335"/>
        <v>1895.9063027320208</v>
      </c>
      <c r="U1004" s="126">
        <v>3929.6299999999997</v>
      </c>
    </row>
    <row r="1005" spans="1:21" s="67" customFormat="1" ht="61.5" x14ac:dyDescent="0.9">
      <c r="A1005" s="67">
        <v>1</v>
      </c>
      <c r="B1005" s="118">
        <f>SUBTOTAL(103,$A$890:A1005)</f>
        <v>112</v>
      </c>
      <c r="C1005" s="115" t="s">
        <v>404</v>
      </c>
      <c r="D1005" s="122">
        <v>1999</v>
      </c>
      <c r="E1005" s="127">
        <v>2016</v>
      </c>
      <c r="F1005" s="127" t="s">
        <v>321</v>
      </c>
      <c r="G1005" s="122">
        <v>9</v>
      </c>
      <c r="H1005" s="122">
        <v>1</v>
      </c>
      <c r="I1005" s="123">
        <v>9730.3000000000011</v>
      </c>
      <c r="J1005" s="123">
        <v>8665.1</v>
      </c>
      <c r="K1005" s="123">
        <v>8342.7000000000007</v>
      </c>
      <c r="L1005" s="124">
        <v>174</v>
      </c>
      <c r="M1005" s="122" t="s">
        <v>272</v>
      </c>
      <c r="N1005" s="122" t="s">
        <v>276</v>
      </c>
      <c r="O1005" s="125" t="s">
        <v>329</v>
      </c>
      <c r="P1005" s="126">
        <v>14305957.390000001</v>
      </c>
      <c r="Q1005" s="126">
        <v>0</v>
      </c>
      <c r="R1005" s="126">
        <v>0</v>
      </c>
      <c r="S1005" s="126">
        <f t="shared" si="341"/>
        <v>14305957.390000001</v>
      </c>
      <c r="T1005" s="126">
        <f t="shared" si="335"/>
        <v>1470.248336639158</v>
      </c>
      <c r="U1005" s="126">
        <v>5443.8865097684538</v>
      </c>
    </row>
    <row r="1006" spans="1:21" s="67" customFormat="1" ht="61.5" x14ac:dyDescent="0.9">
      <c r="B1006" s="115" t="s">
        <v>867</v>
      </c>
      <c r="C1006" s="119"/>
      <c r="D1006" s="122" t="s">
        <v>943</v>
      </c>
      <c r="E1006" s="122" t="s">
        <v>943</v>
      </c>
      <c r="F1006" s="122" t="s">
        <v>943</v>
      </c>
      <c r="G1006" s="122" t="s">
        <v>943</v>
      </c>
      <c r="H1006" s="122" t="s">
        <v>943</v>
      </c>
      <c r="I1006" s="123">
        <f>SUM(I1007:I1014)</f>
        <v>45915.810000000005</v>
      </c>
      <c r="J1006" s="123">
        <f t="shared" ref="J1006:L1006" si="342">SUM(J1007:J1014)</f>
        <v>33236.720000000001</v>
      </c>
      <c r="K1006" s="123">
        <f t="shared" si="342"/>
        <v>33236.720000000001</v>
      </c>
      <c r="L1006" s="124">
        <f t="shared" si="342"/>
        <v>1959</v>
      </c>
      <c r="M1006" s="122" t="s">
        <v>943</v>
      </c>
      <c r="N1006" s="122" t="s">
        <v>943</v>
      </c>
      <c r="O1006" s="125" t="s">
        <v>943</v>
      </c>
      <c r="P1006" s="123">
        <v>51679396.32</v>
      </c>
      <c r="Q1006" s="123">
        <f t="shared" ref="Q1006:S1006" si="343">SUM(Q1007:Q1014)</f>
        <v>0</v>
      </c>
      <c r="R1006" s="123">
        <f t="shared" si="343"/>
        <v>0</v>
      </c>
      <c r="S1006" s="123">
        <f t="shared" si="343"/>
        <v>51679396.32</v>
      </c>
      <c r="T1006" s="126">
        <f t="shared" si="335"/>
        <v>1125.5250929908455</v>
      </c>
      <c r="U1006" s="126">
        <f>MAX(U1007:U1014)</f>
        <v>6710.3029820385191</v>
      </c>
    </row>
    <row r="1007" spans="1:21" s="67" customFormat="1" ht="61.5" x14ac:dyDescent="0.9">
      <c r="A1007" s="67">
        <v>1</v>
      </c>
      <c r="B1007" s="118">
        <f>SUBTOTAL(103,$A$890:A1007)</f>
        <v>113</v>
      </c>
      <c r="C1007" s="115" t="s">
        <v>652</v>
      </c>
      <c r="D1007" s="122">
        <v>1967</v>
      </c>
      <c r="E1007" s="127"/>
      <c r="F1007" s="127" t="s">
        <v>274</v>
      </c>
      <c r="G1007" s="122">
        <v>5</v>
      </c>
      <c r="H1007" s="122">
        <v>4</v>
      </c>
      <c r="I1007" s="123">
        <v>5264.54</v>
      </c>
      <c r="J1007" s="123">
        <v>2547.17</v>
      </c>
      <c r="K1007" s="123">
        <v>2547.17</v>
      </c>
      <c r="L1007" s="124">
        <v>100</v>
      </c>
      <c r="M1007" s="122" t="s">
        <v>272</v>
      </c>
      <c r="N1007" s="122" t="s">
        <v>276</v>
      </c>
      <c r="O1007" s="125" t="s">
        <v>754</v>
      </c>
      <c r="P1007" s="126">
        <v>5121801</v>
      </c>
      <c r="Q1007" s="126">
        <v>0</v>
      </c>
      <c r="R1007" s="126">
        <v>0</v>
      </c>
      <c r="S1007" s="126">
        <f t="shared" ref="S1007:S1014" si="344">P1007-Q1007-R1007</f>
        <v>5121801</v>
      </c>
      <c r="T1007" s="126">
        <f t="shared" si="335"/>
        <v>972.8867099499671</v>
      </c>
      <c r="U1007" s="126">
        <v>1257.5357334164048</v>
      </c>
    </row>
    <row r="1008" spans="1:21" s="67" customFormat="1" ht="61.5" x14ac:dyDescent="0.9">
      <c r="A1008" s="67">
        <v>1</v>
      </c>
      <c r="B1008" s="118">
        <f>SUBTOTAL(103,$A$890:A1008)</f>
        <v>114</v>
      </c>
      <c r="C1008" s="115" t="s">
        <v>653</v>
      </c>
      <c r="D1008" s="122">
        <v>1969</v>
      </c>
      <c r="E1008" s="127"/>
      <c r="F1008" s="127" t="s">
        <v>274</v>
      </c>
      <c r="G1008" s="122">
        <v>5</v>
      </c>
      <c r="H1008" s="122">
        <v>8</v>
      </c>
      <c r="I1008" s="123">
        <v>8212.5400000000009</v>
      </c>
      <c r="J1008" s="123">
        <v>5998.64</v>
      </c>
      <c r="K1008" s="123">
        <v>5998.64</v>
      </c>
      <c r="L1008" s="124">
        <v>252</v>
      </c>
      <c r="M1008" s="122" t="s">
        <v>272</v>
      </c>
      <c r="N1008" s="122" t="s">
        <v>276</v>
      </c>
      <c r="O1008" s="125" t="s">
        <v>754</v>
      </c>
      <c r="P1008" s="126">
        <v>8124000</v>
      </c>
      <c r="Q1008" s="126">
        <v>0</v>
      </c>
      <c r="R1008" s="126">
        <v>0</v>
      </c>
      <c r="S1008" s="126">
        <f t="shared" si="344"/>
        <v>8124000</v>
      </c>
      <c r="T1008" s="126">
        <f t="shared" si="335"/>
        <v>989.21892617874607</v>
      </c>
      <c r="U1008" s="126">
        <v>1390.794410133771</v>
      </c>
    </row>
    <row r="1009" spans="1:21" s="67" customFormat="1" ht="61.5" x14ac:dyDescent="0.9">
      <c r="A1009" s="67">
        <v>1</v>
      </c>
      <c r="B1009" s="118">
        <f>SUBTOTAL(103,$A$890:A1009)</f>
        <v>115</v>
      </c>
      <c r="C1009" s="115" t="s">
        <v>659</v>
      </c>
      <c r="D1009" s="122">
        <v>1962</v>
      </c>
      <c r="E1009" s="127"/>
      <c r="F1009" s="127" t="s">
        <v>274</v>
      </c>
      <c r="G1009" s="122">
        <v>4</v>
      </c>
      <c r="H1009" s="122">
        <v>3</v>
      </c>
      <c r="I1009" s="123">
        <v>2140.73</v>
      </c>
      <c r="J1009" s="123">
        <v>1833.43</v>
      </c>
      <c r="K1009" s="123">
        <v>1833.43</v>
      </c>
      <c r="L1009" s="124">
        <v>72</v>
      </c>
      <c r="M1009" s="122" t="s">
        <v>272</v>
      </c>
      <c r="N1009" s="122" t="s">
        <v>276</v>
      </c>
      <c r="O1009" s="125" t="s">
        <v>753</v>
      </c>
      <c r="P1009" s="126">
        <v>4742041.0599999996</v>
      </c>
      <c r="Q1009" s="126">
        <v>0</v>
      </c>
      <c r="R1009" s="126">
        <v>0</v>
      </c>
      <c r="S1009" s="126">
        <f t="shared" si="344"/>
        <v>4742041.0599999996</v>
      </c>
      <c r="T1009" s="126">
        <f t="shared" si="335"/>
        <v>2215.1514016246792</v>
      </c>
      <c r="U1009" s="126">
        <v>4082.2522134038386</v>
      </c>
    </row>
    <row r="1010" spans="1:21" s="67" customFormat="1" ht="61.5" x14ac:dyDescent="0.9">
      <c r="A1010" s="67">
        <v>1</v>
      </c>
      <c r="B1010" s="118">
        <f>SUBTOTAL(103,$A$890:A1010)</f>
        <v>116</v>
      </c>
      <c r="C1010" s="115" t="s">
        <v>657</v>
      </c>
      <c r="D1010" s="122">
        <v>1982</v>
      </c>
      <c r="E1010" s="127"/>
      <c r="F1010" s="127" t="s">
        <v>274</v>
      </c>
      <c r="G1010" s="122">
        <v>9</v>
      </c>
      <c r="H1010" s="122">
        <v>6</v>
      </c>
      <c r="I1010" s="123">
        <v>12114.8</v>
      </c>
      <c r="J1010" s="123">
        <v>10694</v>
      </c>
      <c r="K1010" s="123">
        <v>10694</v>
      </c>
      <c r="L1010" s="124">
        <v>559</v>
      </c>
      <c r="M1010" s="122" t="s">
        <v>272</v>
      </c>
      <c r="N1010" s="122" t="s">
        <v>276</v>
      </c>
      <c r="O1010" s="125" t="s">
        <v>756</v>
      </c>
      <c r="P1010" s="126">
        <v>9052752</v>
      </c>
      <c r="Q1010" s="126">
        <v>0</v>
      </c>
      <c r="R1010" s="126">
        <v>0</v>
      </c>
      <c r="S1010" s="126">
        <f t="shared" si="344"/>
        <v>9052752</v>
      </c>
      <c r="T1010" s="126">
        <f t="shared" si="335"/>
        <v>747.2473338396012</v>
      </c>
      <c r="U1010" s="126">
        <v>1009.377690098062</v>
      </c>
    </row>
    <row r="1011" spans="1:21" s="67" customFormat="1" ht="61.5" x14ac:dyDescent="0.9">
      <c r="A1011" s="67">
        <v>1</v>
      </c>
      <c r="B1011" s="118">
        <f>SUBTOTAL(103,$A$890:A1011)</f>
        <v>117</v>
      </c>
      <c r="C1011" s="115" t="s">
        <v>671</v>
      </c>
      <c r="D1011" s="122">
        <v>1975</v>
      </c>
      <c r="E1011" s="127"/>
      <c r="F1011" s="127" t="s">
        <v>274</v>
      </c>
      <c r="G1011" s="122">
        <v>5</v>
      </c>
      <c r="H1011" s="122">
        <v>1</v>
      </c>
      <c r="I1011" s="123">
        <v>2310.5</v>
      </c>
      <c r="J1011" s="123">
        <v>830.8</v>
      </c>
      <c r="K1011" s="123">
        <v>830.8</v>
      </c>
      <c r="L1011" s="124">
        <v>86</v>
      </c>
      <c r="M1011" s="122" t="s">
        <v>272</v>
      </c>
      <c r="N1011" s="122" t="s">
        <v>276</v>
      </c>
      <c r="O1011" s="125" t="s">
        <v>753</v>
      </c>
      <c r="P1011" s="126">
        <v>6820409.8600000003</v>
      </c>
      <c r="Q1011" s="126">
        <v>0</v>
      </c>
      <c r="R1011" s="126">
        <v>0</v>
      </c>
      <c r="S1011" s="126">
        <f t="shared" si="344"/>
        <v>6820409.8600000003</v>
      </c>
      <c r="T1011" s="126">
        <f t="shared" si="335"/>
        <v>2951.9194373512228</v>
      </c>
      <c r="U1011" s="126">
        <v>6710.3029820385191</v>
      </c>
    </row>
    <row r="1012" spans="1:21" s="67" customFormat="1" ht="61.5" x14ac:dyDescent="0.9">
      <c r="A1012" s="67">
        <v>1</v>
      </c>
      <c r="B1012" s="118">
        <f>SUBTOTAL(103,$A$890:A1012)</f>
        <v>118</v>
      </c>
      <c r="C1012" s="115" t="s">
        <v>675</v>
      </c>
      <c r="D1012" s="122">
        <v>1982</v>
      </c>
      <c r="E1012" s="127"/>
      <c r="F1012" s="127" t="s">
        <v>274</v>
      </c>
      <c r="G1012" s="122">
        <v>9</v>
      </c>
      <c r="H1012" s="122">
        <v>4</v>
      </c>
      <c r="I1012" s="123">
        <v>9363</v>
      </c>
      <c r="J1012" s="123">
        <v>5631</v>
      </c>
      <c r="K1012" s="123">
        <v>5631</v>
      </c>
      <c r="L1012" s="124">
        <v>549</v>
      </c>
      <c r="M1012" s="122" t="s">
        <v>272</v>
      </c>
      <c r="N1012" s="122" t="s">
        <v>276</v>
      </c>
      <c r="O1012" s="125" t="s">
        <v>761</v>
      </c>
      <c r="P1012" s="126">
        <v>9102212.3999999985</v>
      </c>
      <c r="Q1012" s="126">
        <v>0</v>
      </c>
      <c r="R1012" s="126">
        <v>0</v>
      </c>
      <c r="S1012" s="126">
        <f t="shared" si="344"/>
        <v>9102212.3999999985</v>
      </c>
      <c r="T1012" s="126">
        <f t="shared" si="335"/>
        <v>972.14700416533151</v>
      </c>
      <c r="U1012" s="126">
        <v>1313.1709583466838</v>
      </c>
    </row>
    <row r="1013" spans="1:21" s="67" customFormat="1" ht="61.5" x14ac:dyDescent="0.9">
      <c r="A1013" s="67">
        <v>1</v>
      </c>
      <c r="B1013" s="118">
        <f>SUBTOTAL(103,$A$890:A1013)</f>
        <v>119</v>
      </c>
      <c r="C1013" s="115" t="s">
        <v>679</v>
      </c>
      <c r="D1013" s="122">
        <v>1966</v>
      </c>
      <c r="E1013" s="127"/>
      <c r="F1013" s="127" t="s">
        <v>274</v>
      </c>
      <c r="G1013" s="122">
        <v>5</v>
      </c>
      <c r="H1013" s="122">
        <v>4</v>
      </c>
      <c r="I1013" s="123">
        <v>3420.4</v>
      </c>
      <c r="J1013" s="123">
        <v>2916.6</v>
      </c>
      <c r="K1013" s="123">
        <v>2916.6</v>
      </c>
      <c r="L1013" s="124">
        <v>133</v>
      </c>
      <c r="M1013" s="122" t="s">
        <v>272</v>
      </c>
      <c r="N1013" s="122" t="s">
        <v>276</v>
      </c>
      <c r="O1013" s="125" t="s">
        <v>760</v>
      </c>
      <c r="P1013" s="126">
        <v>4594480</v>
      </c>
      <c r="Q1013" s="126">
        <v>0</v>
      </c>
      <c r="R1013" s="126">
        <v>0</v>
      </c>
      <c r="S1013" s="126">
        <f t="shared" si="344"/>
        <v>4594480</v>
      </c>
      <c r="T1013" s="126">
        <f t="shared" si="335"/>
        <v>1343.2580984680153</v>
      </c>
      <c r="U1013" s="126">
        <v>1736.2710794059174</v>
      </c>
    </row>
    <row r="1014" spans="1:21" s="67" customFormat="1" ht="61.5" x14ac:dyDescent="0.9">
      <c r="A1014" s="67">
        <v>1</v>
      </c>
      <c r="B1014" s="118">
        <f>SUBTOTAL(103,$A$890:A1014)</f>
        <v>120</v>
      </c>
      <c r="C1014" s="115" t="s">
        <v>678</v>
      </c>
      <c r="D1014" s="122">
        <v>1972</v>
      </c>
      <c r="E1014" s="127"/>
      <c r="F1014" s="127" t="s">
        <v>274</v>
      </c>
      <c r="G1014" s="122">
        <v>5</v>
      </c>
      <c r="H1014" s="122">
        <v>4</v>
      </c>
      <c r="I1014" s="123">
        <v>3089.3</v>
      </c>
      <c r="J1014" s="123">
        <v>2785.08</v>
      </c>
      <c r="K1014" s="123">
        <v>2785.08</v>
      </c>
      <c r="L1014" s="124">
        <v>208</v>
      </c>
      <c r="M1014" s="122" t="s">
        <v>272</v>
      </c>
      <c r="N1014" s="122" t="s">
        <v>276</v>
      </c>
      <c r="O1014" s="125" t="s">
        <v>756</v>
      </c>
      <c r="P1014" s="126">
        <v>4121700</v>
      </c>
      <c r="Q1014" s="126">
        <v>0</v>
      </c>
      <c r="R1014" s="126">
        <v>0</v>
      </c>
      <c r="S1014" s="126">
        <f t="shared" si="344"/>
        <v>4121700</v>
      </c>
      <c r="T1014" s="126">
        <f t="shared" si="335"/>
        <v>1334.1857378694201</v>
      </c>
      <c r="U1014" s="126">
        <v>1802.2109377528889</v>
      </c>
    </row>
    <row r="1015" spans="1:21" s="67" customFormat="1" ht="61.5" x14ac:dyDescent="0.9">
      <c r="B1015" s="115" t="s">
        <v>868</v>
      </c>
      <c r="C1015" s="115"/>
      <c r="D1015" s="122" t="s">
        <v>943</v>
      </c>
      <c r="E1015" s="122" t="s">
        <v>943</v>
      </c>
      <c r="F1015" s="122" t="s">
        <v>943</v>
      </c>
      <c r="G1015" s="122" t="s">
        <v>943</v>
      </c>
      <c r="H1015" s="122" t="s">
        <v>943</v>
      </c>
      <c r="I1015" s="123">
        <f>SUM(I1016:I1018)</f>
        <v>10321.200000000001</v>
      </c>
      <c r="J1015" s="123">
        <f t="shared" ref="J1015:L1015" si="345">SUM(J1016:J1018)</f>
        <v>6414.0999999999995</v>
      </c>
      <c r="K1015" s="123">
        <f t="shared" si="345"/>
        <v>5994.7000000000007</v>
      </c>
      <c r="L1015" s="124">
        <f t="shared" si="345"/>
        <v>281</v>
      </c>
      <c r="M1015" s="122" t="s">
        <v>943</v>
      </c>
      <c r="N1015" s="122" t="s">
        <v>943</v>
      </c>
      <c r="O1015" s="125" t="s">
        <v>943</v>
      </c>
      <c r="P1015" s="123">
        <v>9890638.1399999987</v>
      </c>
      <c r="Q1015" s="123">
        <f t="shared" ref="Q1015:S1015" si="346">SUM(Q1016:Q1018)</f>
        <v>0</v>
      </c>
      <c r="R1015" s="123">
        <f t="shared" si="346"/>
        <v>0</v>
      </c>
      <c r="S1015" s="123">
        <f t="shared" si="346"/>
        <v>9890638.1399999987</v>
      </c>
      <c r="T1015" s="126">
        <f t="shared" si="335"/>
        <v>958.28374026275992</v>
      </c>
      <c r="U1015" s="126">
        <f>MAX(U1016:U1018)</f>
        <v>2768.1531715693591</v>
      </c>
    </row>
    <row r="1016" spans="1:21" s="67" customFormat="1" ht="61.5" x14ac:dyDescent="0.9">
      <c r="A1016" s="67">
        <v>1</v>
      </c>
      <c r="B1016" s="118">
        <f>SUBTOTAL(103,$A$890:A1016)</f>
        <v>121</v>
      </c>
      <c r="C1016" s="115" t="s">
        <v>684</v>
      </c>
      <c r="D1016" s="122">
        <v>1992</v>
      </c>
      <c r="E1016" s="127"/>
      <c r="F1016" s="127" t="s">
        <v>321</v>
      </c>
      <c r="G1016" s="122">
        <v>5</v>
      </c>
      <c r="H1016" s="122">
        <v>3</v>
      </c>
      <c r="I1016" s="123">
        <v>5482.2</v>
      </c>
      <c r="J1016" s="123">
        <v>3303.8</v>
      </c>
      <c r="K1016" s="123">
        <v>3096.3</v>
      </c>
      <c r="L1016" s="124">
        <v>147</v>
      </c>
      <c r="M1016" s="122" t="s">
        <v>272</v>
      </c>
      <c r="N1016" s="122" t="s">
        <v>276</v>
      </c>
      <c r="O1016" s="125" t="s">
        <v>758</v>
      </c>
      <c r="P1016" s="126">
        <v>4229613.5999999996</v>
      </c>
      <c r="Q1016" s="126">
        <v>0</v>
      </c>
      <c r="R1016" s="126">
        <v>0</v>
      </c>
      <c r="S1016" s="126">
        <f t="shared" ref="S1016:S1018" si="347">P1016-Q1016-R1016</f>
        <v>4229613.5999999996</v>
      </c>
      <c r="T1016" s="126">
        <f t="shared" si="335"/>
        <v>771.5175659406807</v>
      </c>
      <c r="U1016" s="126">
        <v>1042.1617894276021</v>
      </c>
    </row>
    <row r="1017" spans="1:21" s="67" customFormat="1" ht="61.5" x14ac:dyDescent="0.9">
      <c r="A1017" s="67">
        <v>1</v>
      </c>
      <c r="B1017" s="118">
        <f>SUBTOTAL(103,$A$890:A1017)</f>
        <v>122</v>
      </c>
      <c r="C1017" s="115" t="s">
        <v>1173</v>
      </c>
      <c r="D1017" s="122">
        <v>1983</v>
      </c>
      <c r="E1017" s="127"/>
      <c r="F1017" s="127" t="s">
        <v>274</v>
      </c>
      <c r="G1017" s="122">
        <v>5</v>
      </c>
      <c r="H1017" s="122">
        <v>4</v>
      </c>
      <c r="I1017" s="123">
        <v>4169.3</v>
      </c>
      <c r="J1017" s="123">
        <v>2760.1</v>
      </c>
      <c r="K1017" s="123">
        <v>2597.9</v>
      </c>
      <c r="L1017" s="124">
        <v>121</v>
      </c>
      <c r="M1017" s="122" t="s">
        <v>272</v>
      </c>
      <c r="N1017" s="122" t="s">
        <v>276</v>
      </c>
      <c r="O1017" s="125" t="s">
        <v>1463</v>
      </c>
      <c r="P1017" s="126">
        <v>4226815.84</v>
      </c>
      <c r="Q1017" s="126">
        <v>0</v>
      </c>
      <c r="R1017" s="126">
        <v>0</v>
      </c>
      <c r="S1017" s="126">
        <f t="shared" si="347"/>
        <v>4226815.84</v>
      </c>
      <c r="T1017" s="126">
        <f t="shared" si="335"/>
        <v>1013.795083107476</v>
      </c>
      <c r="U1017" s="126">
        <v>1387.8166402033912</v>
      </c>
    </row>
    <row r="1018" spans="1:21" s="67" customFormat="1" ht="61.5" x14ac:dyDescent="0.9">
      <c r="A1018" s="67">
        <v>1</v>
      </c>
      <c r="B1018" s="118">
        <f>SUBTOTAL(103,$A$890:A1018)</f>
        <v>123</v>
      </c>
      <c r="C1018" s="115" t="s">
        <v>682</v>
      </c>
      <c r="D1018" s="122">
        <v>1966</v>
      </c>
      <c r="E1018" s="127"/>
      <c r="F1018" s="127" t="s">
        <v>274</v>
      </c>
      <c r="G1018" s="122">
        <v>2</v>
      </c>
      <c r="H1018" s="122">
        <v>2</v>
      </c>
      <c r="I1018" s="123">
        <v>669.7</v>
      </c>
      <c r="J1018" s="123">
        <v>350.2</v>
      </c>
      <c r="K1018" s="123">
        <v>300.5</v>
      </c>
      <c r="L1018" s="124">
        <v>13</v>
      </c>
      <c r="M1018" s="122" t="s">
        <v>272</v>
      </c>
      <c r="N1018" s="122" t="s">
        <v>276</v>
      </c>
      <c r="O1018" s="125" t="s">
        <v>758</v>
      </c>
      <c r="P1018" s="126">
        <v>1434208.7</v>
      </c>
      <c r="Q1018" s="126">
        <v>0</v>
      </c>
      <c r="R1018" s="126">
        <v>0</v>
      </c>
      <c r="S1018" s="126">
        <f t="shared" si="347"/>
        <v>1434208.7</v>
      </c>
      <c r="T1018" s="126">
        <f t="shared" si="335"/>
        <v>2141.5689114528891</v>
      </c>
      <c r="U1018" s="126">
        <v>2768.1531715693591</v>
      </c>
    </row>
    <row r="1019" spans="1:21" s="67" customFormat="1" ht="61.5" x14ac:dyDescent="0.9">
      <c r="B1019" s="115" t="s">
        <v>869</v>
      </c>
      <c r="C1019" s="115"/>
      <c r="D1019" s="122" t="s">
        <v>943</v>
      </c>
      <c r="E1019" s="122" t="s">
        <v>943</v>
      </c>
      <c r="F1019" s="122" t="s">
        <v>943</v>
      </c>
      <c r="G1019" s="122" t="s">
        <v>943</v>
      </c>
      <c r="H1019" s="122" t="s">
        <v>943</v>
      </c>
      <c r="I1019" s="123">
        <f>SUM(I1020:I1021)</f>
        <v>4408.6000000000004</v>
      </c>
      <c r="J1019" s="123">
        <f t="shared" ref="J1019:L1019" si="348">SUM(J1020:J1021)</f>
        <v>4188.5</v>
      </c>
      <c r="K1019" s="123">
        <f t="shared" si="348"/>
        <v>1566.9</v>
      </c>
      <c r="L1019" s="124">
        <f t="shared" si="348"/>
        <v>120</v>
      </c>
      <c r="M1019" s="122" t="s">
        <v>943</v>
      </c>
      <c r="N1019" s="122" t="s">
        <v>943</v>
      </c>
      <c r="O1019" s="125" t="s">
        <v>943</v>
      </c>
      <c r="P1019" s="126">
        <v>11422752.699999999</v>
      </c>
      <c r="Q1019" s="126">
        <f t="shared" ref="Q1019:S1019" si="349">Q1020+Q1021</f>
        <v>0</v>
      </c>
      <c r="R1019" s="126">
        <f t="shared" si="349"/>
        <v>0</v>
      </c>
      <c r="S1019" s="126">
        <f t="shared" si="349"/>
        <v>11422752.699999999</v>
      </c>
      <c r="T1019" s="126">
        <f t="shared" si="335"/>
        <v>2591.0159007394632</v>
      </c>
      <c r="U1019" s="126">
        <f>MAX(U1020:U1021)</f>
        <v>18286.916766651964</v>
      </c>
    </row>
    <row r="1020" spans="1:21" s="67" customFormat="1" ht="61.5" x14ac:dyDescent="0.9">
      <c r="A1020" s="67">
        <v>1</v>
      </c>
      <c r="B1020" s="118">
        <f>SUBTOTAL(103,$A$890:A1020)</f>
        <v>124</v>
      </c>
      <c r="C1020" s="115" t="s">
        <v>688</v>
      </c>
      <c r="D1020" s="122">
        <v>1882</v>
      </c>
      <c r="E1020" s="127"/>
      <c r="F1020" s="127" t="s">
        <v>274</v>
      </c>
      <c r="G1020" s="122">
        <v>3</v>
      </c>
      <c r="H1020" s="122">
        <v>3</v>
      </c>
      <c r="I1020" s="123">
        <v>3501.8</v>
      </c>
      <c r="J1020" s="123">
        <v>3352.4</v>
      </c>
      <c r="K1020" s="123">
        <v>1028.9000000000001</v>
      </c>
      <c r="L1020" s="124">
        <v>87</v>
      </c>
      <c r="M1020" s="122" t="s">
        <v>272</v>
      </c>
      <c r="N1020" s="122" t="s">
        <v>276</v>
      </c>
      <c r="O1020" s="125" t="s">
        <v>759</v>
      </c>
      <c r="P1020" s="126">
        <v>4240119.51</v>
      </c>
      <c r="Q1020" s="126">
        <v>0</v>
      </c>
      <c r="R1020" s="126">
        <v>0</v>
      </c>
      <c r="S1020" s="126">
        <f t="shared" ref="S1020:S1021" si="350">P1020-Q1020-R1020</f>
        <v>4240119.51</v>
      </c>
      <c r="T1020" s="126">
        <f t="shared" si="335"/>
        <v>1210.839999428865</v>
      </c>
      <c r="U1020" s="126">
        <v>2753.19</v>
      </c>
    </row>
    <row r="1021" spans="1:21" s="67" customFormat="1" ht="61.5" x14ac:dyDescent="0.9">
      <c r="A1021" s="67">
        <v>1</v>
      </c>
      <c r="B1021" s="118">
        <f>SUBTOTAL(103,$A$890:A1021)</f>
        <v>125</v>
      </c>
      <c r="C1021" s="115" t="s">
        <v>692</v>
      </c>
      <c r="D1021" s="122">
        <v>1952</v>
      </c>
      <c r="E1021" s="127"/>
      <c r="F1021" s="127" t="s">
        <v>274</v>
      </c>
      <c r="G1021" s="122">
        <v>2</v>
      </c>
      <c r="H1021" s="122">
        <v>2</v>
      </c>
      <c r="I1021" s="123">
        <v>906.8</v>
      </c>
      <c r="J1021" s="123">
        <v>836.1</v>
      </c>
      <c r="K1021" s="123">
        <v>538</v>
      </c>
      <c r="L1021" s="124">
        <v>33</v>
      </c>
      <c r="M1021" s="122" t="s">
        <v>272</v>
      </c>
      <c r="N1021" s="122" t="s">
        <v>276</v>
      </c>
      <c r="O1021" s="125" t="s">
        <v>759</v>
      </c>
      <c r="P1021" s="126">
        <v>7182633.1900000004</v>
      </c>
      <c r="Q1021" s="126">
        <v>0</v>
      </c>
      <c r="R1021" s="126">
        <v>0</v>
      </c>
      <c r="S1021" s="126">
        <f t="shared" si="350"/>
        <v>7182633.1900000004</v>
      </c>
      <c r="T1021" s="126">
        <f t="shared" si="335"/>
        <v>7920.8570688134105</v>
      </c>
      <c r="U1021" s="126">
        <v>18286.916766651964</v>
      </c>
    </row>
    <row r="1022" spans="1:21" s="67" customFormat="1" ht="61.5" x14ac:dyDescent="0.9">
      <c r="B1022" s="115" t="s">
        <v>870</v>
      </c>
      <c r="C1022" s="115"/>
      <c r="D1022" s="122" t="s">
        <v>943</v>
      </c>
      <c r="E1022" s="122" t="s">
        <v>943</v>
      </c>
      <c r="F1022" s="122" t="s">
        <v>943</v>
      </c>
      <c r="G1022" s="122" t="s">
        <v>943</v>
      </c>
      <c r="H1022" s="122" t="s">
        <v>943</v>
      </c>
      <c r="I1022" s="123">
        <f>SUM(I1023:I1024)</f>
        <v>8897</v>
      </c>
      <c r="J1022" s="123">
        <f t="shared" ref="J1022:L1022" si="351">SUM(J1023:J1024)</f>
        <v>6664.5</v>
      </c>
      <c r="K1022" s="123">
        <f t="shared" si="351"/>
        <v>6664.5</v>
      </c>
      <c r="L1022" s="124">
        <f t="shared" si="351"/>
        <v>313</v>
      </c>
      <c r="M1022" s="122" t="s">
        <v>943</v>
      </c>
      <c r="N1022" s="122" t="s">
        <v>943</v>
      </c>
      <c r="O1022" s="125" t="s">
        <v>943</v>
      </c>
      <c r="P1022" s="126">
        <v>9642280.0099999998</v>
      </c>
      <c r="Q1022" s="126">
        <f t="shared" ref="Q1022:S1022" si="352">Q1023+Q1024</f>
        <v>0</v>
      </c>
      <c r="R1022" s="126">
        <f t="shared" si="352"/>
        <v>0</v>
      </c>
      <c r="S1022" s="126">
        <f t="shared" si="352"/>
        <v>9642280.0099999998</v>
      </c>
      <c r="T1022" s="126">
        <f t="shared" si="335"/>
        <v>1083.7675632235585</v>
      </c>
      <c r="U1022" s="126">
        <f>MAX(U1023:U1024)</f>
        <v>1500.5258913981086</v>
      </c>
    </row>
    <row r="1023" spans="1:21" s="67" customFormat="1" ht="61.5" x14ac:dyDescent="0.9">
      <c r="A1023" s="67">
        <v>1</v>
      </c>
      <c r="B1023" s="118">
        <f>SUBTOTAL(103,$A$890:A1023)</f>
        <v>126</v>
      </c>
      <c r="C1023" s="115" t="s">
        <v>697</v>
      </c>
      <c r="D1023" s="122">
        <v>1986</v>
      </c>
      <c r="E1023" s="127"/>
      <c r="F1023" s="127" t="s">
        <v>274</v>
      </c>
      <c r="G1023" s="122">
        <v>5</v>
      </c>
      <c r="H1023" s="122">
        <v>4</v>
      </c>
      <c r="I1023" s="123">
        <v>3732.9</v>
      </c>
      <c r="J1023" s="123">
        <v>2826.7</v>
      </c>
      <c r="K1023" s="123">
        <v>2826.7</v>
      </c>
      <c r="L1023" s="124">
        <v>115</v>
      </c>
      <c r="M1023" s="122" t="s">
        <v>272</v>
      </c>
      <c r="N1023" s="122" t="s">
        <v>276</v>
      </c>
      <c r="O1023" s="125" t="s">
        <v>762</v>
      </c>
      <c r="P1023" s="126">
        <v>4146680</v>
      </c>
      <c r="Q1023" s="126">
        <v>0</v>
      </c>
      <c r="R1023" s="126">
        <v>0</v>
      </c>
      <c r="S1023" s="126">
        <f t="shared" ref="S1023:S1024" si="353">P1023-Q1023-R1023</f>
        <v>4146680</v>
      </c>
      <c r="T1023" s="126">
        <f t="shared" si="335"/>
        <v>1110.8467947172439</v>
      </c>
      <c r="U1023" s="126">
        <v>1500.5258913981086</v>
      </c>
    </row>
    <row r="1024" spans="1:21" s="67" customFormat="1" ht="61.5" x14ac:dyDescent="0.9">
      <c r="A1024" s="67">
        <v>1</v>
      </c>
      <c r="B1024" s="118">
        <f>SUBTOTAL(103,$A$890:A1024)</f>
        <v>127</v>
      </c>
      <c r="C1024" s="115" t="s">
        <v>701</v>
      </c>
      <c r="D1024" s="122">
        <v>1986</v>
      </c>
      <c r="E1024" s="127"/>
      <c r="F1024" s="127" t="s">
        <v>274</v>
      </c>
      <c r="G1024" s="122">
        <v>5</v>
      </c>
      <c r="H1024" s="122">
        <v>6</v>
      </c>
      <c r="I1024" s="123">
        <v>5164.1000000000004</v>
      </c>
      <c r="J1024" s="123">
        <v>3837.8</v>
      </c>
      <c r="K1024" s="123">
        <v>3837.8</v>
      </c>
      <c r="L1024" s="124">
        <v>198</v>
      </c>
      <c r="M1024" s="122" t="s">
        <v>272</v>
      </c>
      <c r="N1024" s="122" t="s">
        <v>276</v>
      </c>
      <c r="O1024" s="125" t="s">
        <v>763</v>
      </c>
      <c r="P1024" s="126">
        <v>5495600.0099999998</v>
      </c>
      <c r="Q1024" s="126">
        <v>0</v>
      </c>
      <c r="R1024" s="126">
        <v>0</v>
      </c>
      <c r="S1024" s="126">
        <f t="shared" si="353"/>
        <v>5495600.0099999998</v>
      </c>
      <c r="T1024" s="126">
        <f t="shared" si="335"/>
        <v>1064.1931817741715</v>
      </c>
      <c r="U1024" s="126">
        <v>1437.5064386824422</v>
      </c>
    </row>
    <row r="1025" spans="1:185" s="67" customFormat="1" ht="61.5" x14ac:dyDescent="0.9">
      <c r="B1025" s="115" t="s">
        <v>871</v>
      </c>
      <c r="C1025" s="119"/>
      <c r="D1025" s="122" t="s">
        <v>943</v>
      </c>
      <c r="E1025" s="122" t="s">
        <v>943</v>
      </c>
      <c r="F1025" s="122" t="s">
        <v>943</v>
      </c>
      <c r="G1025" s="122" t="s">
        <v>943</v>
      </c>
      <c r="H1025" s="122" t="s">
        <v>943</v>
      </c>
      <c r="I1025" s="123">
        <f>I1026</f>
        <v>1801.1</v>
      </c>
      <c r="J1025" s="123">
        <f t="shared" ref="J1025:L1025" si="354">J1026</f>
        <v>277.10000000000002</v>
      </c>
      <c r="K1025" s="123">
        <f t="shared" si="354"/>
        <v>277.10000000000002</v>
      </c>
      <c r="L1025" s="124">
        <f t="shared" si="354"/>
        <v>15</v>
      </c>
      <c r="M1025" s="122" t="s">
        <v>943</v>
      </c>
      <c r="N1025" s="122" t="s">
        <v>943</v>
      </c>
      <c r="O1025" s="125" t="s">
        <v>943</v>
      </c>
      <c r="P1025" s="126">
        <v>4369866.08</v>
      </c>
      <c r="Q1025" s="126">
        <f t="shared" ref="Q1025:S1025" si="355">Q1026</f>
        <v>0</v>
      </c>
      <c r="R1025" s="126">
        <f t="shared" si="355"/>
        <v>0</v>
      </c>
      <c r="S1025" s="126">
        <f t="shared" si="355"/>
        <v>4369866.08</v>
      </c>
      <c r="T1025" s="126">
        <f t="shared" si="335"/>
        <v>2426.2206873577261</v>
      </c>
      <c r="U1025" s="126">
        <f>MAX(U1026)</f>
        <v>4507.5396757537064</v>
      </c>
    </row>
    <row r="1026" spans="1:185" s="76" customFormat="1" ht="35.25" x14ac:dyDescent="0.25">
      <c r="A1026" s="76">
        <v>1</v>
      </c>
      <c r="B1026" s="138">
        <f>SUBTOTAL(103,$A$890:A1026)</f>
        <v>128</v>
      </c>
      <c r="C1026" s="139" t="s">
        <v>721</v>
      </c>
      <c r="D1026" s="140">
        <v>1968</v>
      </c>
      <c r="E1026" s="140"/>
      <c r="F1026" s="141" t="s">
        <v>274</v>
      </c>
      <c r="G1026" s="140">
        <v>2</v>
      </c>
      <c r="H1026" s="140">
        <v>1</v>
      </c>
      <c r="I1026" s="142">
        <v>1801.1</v>
      </c>
      <c r="J1026" s="142">
        <v>277.10000000000002</v>
      </c>
      <c r="K1026" s="142">
        <v>277.10000000000002</v>
      </c>
      <c r="L1026" s="143">
        <v>15</v>
      </c>
      <c r="M1026" s="140" t="s">
        <v>272</v>
      </c>
      <c r="N1026" s="140" t="s">
        <v>276</v>
      </c>
      <c r="O1026" s="140" t="s">
        <v>769</v>
      </c>
      <c r="P1026" s="144">
        <v>4369866.08</v>
      </c>
      <c r="Q1026" s="144">
        <v>0</v>
      </c>
      <c r="R1026" s="144">
        <v>0</v>
      </c>
      <c r="S1026" s="144">
        <f>P1026-Q1026-R1026</f>
        <v>4369866.08</v>
      </c>
      <c r="T1026" s="145">
        <f t="shared" si="335"/>
        <v>2426.2206873577261</v>
      </c>
      <c r="U1026" s="145">
        <v>4507.5396757537064</v>
      </c>
      <c r="DK1026" s="146"/>
      <c r="DL1026" s="146"/>
      <c r="DM1026" s="146"/>
      <c r="EA1026" s="147"/>
      <c r="EJ1026" s="148"/>
      <c r="FM1026" s="149"/>
      <c r="GC1026" s="150"/>
    </row>
    <row r="1027" spans="1:185" s="67" customFormat="1" ht="61.5" x14ac:dyDescent="0.9">
      <c r="B1027" s="115" t="s">
        <v>872</v>
      </c>
      <c r="C1027" s="115"/>
      <c r="D1027" s="122" t="s">
        <v>943</v>
      </c>
      <c r="E1027" s="122" t="s">
        <v>943</v>
      </c>
      <c r="F1027" s="122" t="s">
        <v>943</v>
      </c>
      <c r="G1027" s="122" t="s">
        <v>943</v>
      </c>
      <c r="H1027" s="122" t="s">
        <v>943</v>
      </c>
      <c r="I1027" s="123">
        <f>I1028</f>
        <v>1070.8</v>
      </c>
      <c r="J1027" s="123">
        <f t="shared" ref="J1027:L1027" si="356">J1028</f>
        <v>942</v>
      </c>
      <c r="K1027" s="123">
        <f t="shared" si="356"/>
        <v>942</v>
      </c>
      <c r="L1027" s="124">
        <f t="shared" si="356"/>
        <v>42</v>
      </c>
      <c r="M1027" s="122" t="s">
        <v>943</v>
      </c>
      <c r="N1027" s="122" t="s">
        <v>943</v>
      </c>
      <c r="O1027" s="125" t="s">
        <v>943</v>
      </c>
      <c r="P1027" s="126">
        <v>2936950.21</v>
      </c>
      <c r="Q1027" s="126">
        <f t="shared" ref="Q1027:S1027" si="357">Q1028</f>
        <v>0</v>
      </c>
      <c r="R1027" s="126">
        <f t="shared" si="357"/>
        <v>0</v>
      </c>
      <c r="S1027" s="126">
        <f t="shared" si="357"/>
        <v>2936950.21</v>
      </c>
      <c r="T1027" s="126">
        <f t="shared" si="335"/>
        <v>2742.7626167351514</v>
      </c>
      <c r="U1027" s="126">
        <f>MAX(U1028)</f>
        <v>5541.1473477773634</v>
      </c>
    </row>
    <row r="1028" spans="1:185" s="76" customFormat="1" ht="35.25" x14ac:dyDescent="0.25">
      <c r="A1028" s="76">
        <v>1</v>
      </c>
      <c r="B1028" s="138">
        <f>SUBTOTAL(103,$A$890:A1028)</f>
        <v>129</v>
      </c>
      <c r="C1028" s="139" t="s">
        <v>737</v>
      </c>
      <c r="D1028" s="140">
        <v>1979</v>
      </c>
      <c r="E1028" s="140"/>
      <c r="F1028" s="141" t="s">
        <v>274</v>
      </c>
      <c r="G1028" s="140">
        <v>2</v>
      </c>
      <c r="H1028" s="140">
        <v>3</v>
      </c>
      <c r="I1028" s="142">
        <v>1070.8</v>
      </c>
      <c r="J1028" s="142">
        <v>942</v>
      </c>
      <c r="K1028" s="142">
        <v>942</v>
      </c>
      <c r="L1028" s="143">
        <v>42</v>
      </c>
      <c r="M1028" s="140" t="s">
        <v>272</v>
      </c>
      <c r="N1028" s="140" t="s">
        <v>351</v>
      </c>
      <c r="O1028" s="140" t="s">
        <v>773</v>
      </c>
      <c r="P1028" s="144">
        <v>2936950.21</v>
      </c>
      <c r="Q1028" s="144">
        <v>0</v>
      </c>
      <c r="R1028" s="144">
        <v>0</v>
      </c>
      <c r="S1028" s="144">
        <f>P1028-Q1028-R1028</f>
        <v>2936950.21</v>
      </c>
      <c r="T1028" s="145">
        <f t="shared" si="335"/>
        <v>2742.7626167351514</v>
      </c>
      <c r="U1028" s="145">
        <v>5541.1473477773634</v>
      </c>
      <c r="DK1028" s="146"/>
      <c r="DL1028" s="146"/>
      <c r="DM1028" s="146"/>
      <c r="EA1028" s="147"/>
      <c r="EJ1028" s="148"/>
      <c r="FM1028" s="149"/>
      <c r="GC1028" s="150"/>
    </row>
    <row r="1029" spans="1:185" s="67" customFormat="1" ht="61.5" x14ac:dyDescent="0.9">
      <c r="B1029" s="115" t="s">
        <v>873</v>
      </c>
      <c r="C1029" s="115"/>
      <c r="D1029" s="122" t="s">
        <v>943</v>
      </c>
      <c r="E1029" s="122" t="s">
        <v>943</v>
      </c>
      <c r="F1029" s="122" t="s">
        <v>943</v>
      </c>
      <c r="G1029" s="122" t="s">
        <v>943</v>
      </c>
      <c r="H1029" s="122" t="s">
        <v>943</v>
      </c>
      <c r="I1029" s="123">
        <f>I1030+I1031</f>
        <v>1547.1</v>
      </c>
      <c r="J1029" s="123">
        <f t="shared" ref="J1029:L1029" si="358">J1030+J1031</f>
        <v>1426.8</v>
      </c>
      <c r="K1029" s="123">
        <f t="shared" si="358"/>
        <v>275.39999999999998</v>
      </c>
      <c r="L1029" s="124">
        <f t="shared" si="358"/>
        <v>72</v>
      </c>
      <c r="M1029" s="122" t="s">
        <v>943</v>
      </c>
      <c r="N1029" s="122" t="s">
        <v>943</v>
      </c>
      <c r="O1029" s="125" t="s">
        <v>943</v>
      </c>
      <c r="P1029" s="126">
        <v>2773728.46</v>
      </c>
      <c r="Q1029" s="126">
        <f t="shared" ref="Q1029:S1029" si="359">Q1030+Q1031</f>
        <v>0</v>
      </c>
      <c r="R1029" s="126">
        <f t="shared" si="359"/>
        <v>0</v>
      </c>
      <c r="S1029" s="126">
        <f t="shared" si="359"/>
        <v>2773728.46</v>
      </c>
      <c r="T1029" s="126">
        <f t="shared" si="335"/>
        <v>1792.8566091396808</v>
      </c>
      <c r="U1029" s="126">
        <f>MAX(U1030:U1031)</f>
        <v>3916.1910552578079</v>
      </c>
    </row>
    <row r="1030" spans="1:185" s="76" customFormat="1" ht="35.25" x14ac:dyDescent="0.25">
      <c r="A1030" s="76">
        <v>1</v>
      </c>
      <c r="B1030" s="138">
        <f>SUBTOTAL(103,$A$890:A1030)</f>
        <v>130</v>
      </c>
      <c r="C1030" s="139" t="s">
        <v>728</v>
      </c>
      <c r="D1030" s="140">
        <v>1971</v>
      </c>
      <c r="E1030" s="140"/>
      <c r="F1030" s="141" t="s">
        <v>274</v>
      </c>
      <c r="G1030" s="140">
        <v>3</v>
      </c>
      <c r="H1030" s="140">
        <v>2</v>
      </c>
      <c r="I1030" s="142">
        <v>1082.2</v>
      </c>
      <c r="J1030" s="142">
        <v>1018.1</v>
      </c>
      <c r="K1030" s="142">
        <v>114.5</v>
      </c>
      <c r="L1030" s="143">
        <v>44</v>
      </c>
      <c r="M1030" s="140" t="s">
        <v>272</v>
      </c>
      <c r="N1030" s="140" t="s">
        <v>273</v>
      </c>
      <c r="O1030" s="140" t="s">
        <v>275</v>
      </c>
      <c r="P1030" s="144">
        <v>2539091.92</v>
      </c>
      <c r="Q1030" s="144">
        <v>0</v>
      </c>
      <c r="R1030" s="144">
        <v>0</v>
      </c>
      <c r="S1030" s="144">
        <f t="shared" ref="S1030:S1031" si="360">P1030-Q1030-R1030</f>
        <v>2539091.92</v>
      </c>
      <c r="T1030" s="145">
        <f t="shared" si="335"/>
        <v>2346.2316762151172</v>
      </c>
      <c r="U1030" s="145">
        <v>3916.1910552578079</v>
      </c>
      <c r="DK1030" s="146"/>
      <c r="DL1030" s="146"/>
      <c r="DM1030" s="146"/>
      <c r="EA1030" s="147"/>
      <c r="EJ1030" s="148"/>
      <c r="FM1030" s="149"/>
      <c r="GC1030" s="150"/>
    </row>
    <row r="1031" spans="1:185" s="76" customFormat="1" ht="35.25" x14ac:dyDescent="0.25">
      <c r="A1031" s="76">
        <v>1</v>
      </c>
      <c r="B1031" s="138">
        <f>SUBTOTAL(103,$A$890:A1031)</f>
        <v>131</v>
      </c>
      <c r="C1031" s="139" t="s">
        <v>740</v>
      </c>
      <c r="D1031" s="140">
        <v>1964</v>
      </c>
      <c r="E1031" s="140"/>
      <c r="F1031" s="141" t="s">
        <v>274</v>
      </c>
      <c r="G1031" s="140">
        <v>2</v>
      </c>
      <c r="H1031" s="140">
        <v>2</v>
      </c>
      <c r="I1031" s="142">
        <v>464.9</v>
      </c>
      <c r="J1031" s="142">
        <v>408.7</v>
      </c>
      <c r="K1031" s="142">
        <v>160.9</v>
      </c>
      <c r="L1031" s="143">
        <v>28</v>
      </c>
      <c r="M1031" s="140" t="s">
        <v>272</v>
      </c>
      <c r="N1031" s="140" t="s">
        <v>273</v>
      </c>
      <c r="O1031" s="140" t="s">
        <v>275</v>
      </c>
      <c r="P1031" s="144">
        <v>234636.54</v>
      </c>
      <c r="Q1031" s="144">
        <v>0</v>
      </c>
      <c r="R1031" s="144">
        <v>0</v>
      </c>
      <c r="S1031" s="144">
        <f t="shared" si="360"/>
        <v>234636.54</v>
      </c>
      <c r="T1031" s="145">
        <f t="shared" si="335"/>
        <v>504.70324801032484</v>
      </c>
      <c r="U1031" s="145">
        <v>673.78</v>
      </c>
      <c r="DK1031" s="146"/>
      <c r="DL1031" s="146"/>
      <c r="DM1031" s="146"/>
      <c r="EA1031" s="147"/>
      <c r="EJ1031" s="148"/>
      <c r="FM1031" s="149"/>
      <c r="GC1031" s="150"/>
    </row>
    <row r="1032" spans="1:185" s="67" customFormat="1" ht="61.5" x14ac:dyDescent="0.9">
      <c r="B1032" s="115" t="s">
        <v>937</v>
      </c>
      <c r="C1032" s="115"/>
      <c r="D1032" s="122" t="s">
        <v>943</v>
      </c>
      <c r="E1032" s="122" t="s">
        <v>943</v>
      </c>
      <c r="F1032" s="122" t="s">
        <v>943</v>
      </c>
      <c r="G1032" s="122" t="s">
        <v>943</v>
      </c>
      <c r="H1032" s="122" t="s">
        <v>943</v>
      </c>
      <c r="I1032" s="123">
        <f>I1033</f>
        <v>455.7</v>
      </c>
      <c r="J1032" s="123">
        <f t="shared" ref="J1032:L1032" si="361">J1033</f>
        <v>413.6</v>
      </c>
      <c r="K1032" s="123">
        <f t="shared" si="361"/>
        <v>413.6</v>
      </c>
      <c r="L1032" s="124">
        <f t="shared" si="361"/>
        <v>26</v>
      </c>
      <c r="M1032" s="122" t="s">
        <v>943</v>
      </c>
      <c r="N1032" s="122" t="s">
        <v>943</v>
      </c>
      <c r="O1032" s="125" t="s">
        <v>943</v>
      </c>
      <c r="P1032" s="126">
        <v>2158336.3499999996</v>
      </c>
      <c r="Q1032" s="126">
        <f t="shared" ref="Q1032:S1032" si="362">Q1033</f>
        <v>0</v>
      </c>
      <c r="R1032" s="126">
        <f t="shared" si="362"/>
        <v>0</v>
      </c>
      <c r="S1032" s="126">
        <f t="shared" si="362"/>
        <v>2158336.3499999996</v>
      </c>
      <c r="T1032" s="126">
        <f t="shared" si="335"/>
        <v>4736.309743252139</v>
      </c>
      <c r="U1032" s="126">
        <f>MAX(U1033)</f>
        <v>5820.0307439104672</v>
      </c>
    </row>
    <row r="1033" spans="1:185" s="76" customFormat="1" ht="35.25" x14ac:dyDescent="0.25">
      <c r="A1033" s="76">
        <v>1</v>
      </c>
      <c r="B1033" s="138">
        <f>SUBTOTAL(103,$A$890:A1033)</f>
        <v>132</v>
      </c>
      <c r="C1033" s="139" t="s">
        <v>720</v>
      </c>
      <c r="D1033" s="140">
        <v>1962</v>
      </c>
      <c r="E1033" s="140"/>
      <c r="F1033" s="141" t="s">
        <v>274</v>
      </c>
      <c r="G1033" s="140">
        <v>2</v>
      </c>
      <c r="H1033" s="140">
        <v>2</v>
      </c>
      <c r="I1033" s="142">
        <v>455.7</v>
      </c>
      <c r="J1033" s="142">
        <v>413.6</v>
      </c>
      <c r="K1033" s="142">
        <v>413.6</v>
      </c>
      <c r="L1033" s="143">
        <v>26</v>
      </c>
      <c r="M1033" s="140" t="s">
        <v>272</v>
      </c>
      <c r="N1033" s="140" t="s">
        <v>273</v>
      </c>
      <c r="O1033" s="140" t="s">
        <v>275</v>
      </c>
      <c r="P1033" s="144">
        <v>2158336.3499999996</v>
      </c>
      <c r="Q1033" s="144">
        <v>0</v>
      </c>
      <c r="R1033" s="144">
        <v>0</v>
      </c>
      <c r="S1033" s="144">
        <f>P1033-Q1033-R1033</f>
        <v>2158336.3499999996</v>
      </c>
      <c r="T1033" s="145">
        <f t="shared" si="335"/>
        <v>4736.309743252139</v>
      </c>
      <c r="U1033" s="145">
        <v>5820.0307439104672</v>
      </c>
      <c r="DK1033" s="146"/>
      <c r="DL1033" s="146"/>
      <c r="DM1033" s="146"/>
      <c r="EA1033" s="147"/>
      <c r="EJ1033" s="148"/>
      <c r="FM1033" s="149"/>
      <c r="GC1033" s="150"/>
    </row>
    <row r="1034" spans="1:185" s="67" customFormat="1" ht="61.5" x14ac:dyDescent="0.9">
      <c r="B1034" s="115" t="s">
        <v>874</v>
      </c>
      <c r="C1034" s="115"/>
      <c r="D1034" s="122" t="s">
        <v>943</v>
      </c>
      <c r="E1034" s="122" t="s">
        <v>943</v>
      </c>
      <c r="F1034" s="122" t="s">
        <v>943</v>
      </c>
      <c r="G1034" s="122" t="s">
        <v>943</v>
      </c>
      <c r="H1034" s="122" t="s">
        <v>943</v>
      </c>
      <c r="I1034" s="123">
        <f>I1035</f>
        <v>3085.8</v>
      </c>
      <c r="J1034" s="123">
        <f t="shared" ref="J1034:L1034" si="363">J1035</f>
        <v>2104.5</v>
      </c>
      <c r="K1034" s="123">
        <f t="shared" si="363"/>
        <v>1863.3</v>
      </c>
      <c r="L1034" s="124">
        <f t="shared" si="363"/>
        <v>144</v>
      </c>
      <c r="M1034" s="122" t="s">
        <v>943</v>
      </c>
      <c r="N1034" s="122" t="s">
        <v>943</v>
      </c>
      <c r="O1034" s="125" t="s">
        <v>943</v>
      </c>
      <c r="P1034" s="126">
        <v>2000000</v>
      </c>
      <c r="Q1034" s="126">
        <f t="shared" ref="Q1034:S1034" si="364">Q1035</f>
        <v>0</v>
      </c>
      <c r="R1034" s="126">
        <f t="shared" si="364"/>
        <v>0</v>
      </c>
      <c r="S1034" s="126">
        <f t="shared" si="364"/>
        <v>2000000</v>
      </c>
      <c r="T1034" s="126">
        <f t="shared" si="335"/>
        <v>648.13014453302219</v>
      </c>
      <c r="U1034" s="126">
        <f>MAX(U1035)</f>
        <v>1710.6077865059303</v>
      </c>
    </row>
    <row r="1035" spans="1:185" s="76" customFormat="1" ht="35.25" x14ac:dyDescent="0.25">
      <c r="A1035" s="76">
        <v>1</v>
      </c>
      <c r="B1035" s="138">
        <f>SUBTOTAL(103,$A$890:A1035)</f>
        <v>133</v>
      </c>
      <c r="C1035" s="139" t="s">
        <v>726</v>
      </c>
      <c r="D1035" s="140">
        <v>1979</v>
      </c>
      <c r="E1035" s="140"/>
      <c r="F1035" s="141" t="s">
        <v>772</v>
      </c>
      <c r="G1035" s="140">
        <v>5</v>
      </c>
      <c r="H1035" s="140">
        <v>4</v>
      </c>
      <c r="I1035" s="142">
        <v>3085.8</v>
      </c>
      <c r="J1035" s="142">
        <v>2104.5</v>
      </c>
      <c r="K1035" s="142">
        <v>1863.3</v>
      </c>
      <c r="L1035" s="143">
        <v>144</v>
      </c>
      <c r="M1035" s="140" t="s">
        <v>272</v>
      </c>
      <c r="N1035" s="140" t="s">
        <v>276</v>
      </c>
      <c r="O1035" s="140" t="s">
        <v>769</v>
      </c>
      <c r="P1035" s="144">
        <v>2000000</v>
      </c>
      <c r="Q1035" s="144">
        <v>0</v>
      </c>
      <c r="R1035" s="144">
        <v>0</v>
      </c>
      <c r="S1035" s="144">
        <f>P1035-Q1035-R1035</f>
        <v>2000000</v>
      </c>
      <c r="T1035" s="145">
        <f t="shared" si="335"/>
        <v>648.13014453302219</v>
      </c>
      <c r="U1035" s="145">
        <v>1710.6077865059303</v>
      </c>
      <c r="DK1035" s="146"/>
      <c r="DL1035" s="146"/>
      <c r="DM1035" s="146"/>
      <c r="EA1035" s="147"/>
      <c r="EJ1035" s="148"/>
      <c r="FM1035" s="149"/>
      <c r="GC1035" s="150"/>
    </row>
    <row r="1036" spans="1:185" s="67" customFormat="1" ht="61.5" x14ac:dyDescent="0.9">
      <c r="B1036" s="115" t="s">
        <v>875</v>
      </c>
      <c r="C1036" s="115"/>
      <c r="D1036" s="122" t="s">
        <v>943</v>
      </c>
      <c r="E1036" s="122" t="s">
        <v>943</v>
      </c>
      <c r="F1036" s="122" t="s">
        <v>943</v>
      </c>
      <c r="G1036" s="122" t="s">
        <v>943</v>
      </c>
      <c r="H1036" s="122" t="s">
        <v>943</v>
      </c>
      <c r="I1036" s="123">
        <f>SUM(I1037:I1043)</f>
        <v>11855.599999999999</v>
      </c>
      <c r="J1036" s="123">
        <f t="shared" ref="J1036:L1036" si="365">SUM(J1037:J1043)</f>
        <v>10339</v>
      </c>
      <c r="K1036" s="123">
        <f t="shared" si="365"/>
        <v>10137.5</v>
      </c>
      <c r="L1036" s="124">
        <f t="shared" si="365"/>
        <v>299</v>
      </c>
      <c r="M1036" s="122" t="s">
        <v>943</v>
      </c>
      <c r="N1036" s="122" t="s">
        <v>943</v>
      </c>
      <c r="O1036" s="125" t="s">
        <v>943</v>
      </c>
      <c r="P1036" s="126">
        <v>23342011.919999998</v>
      </c>
      <c r="Q1036" s="126">
        <f t="shared" ref="Q1036:S1036" si="366">SUM(Q1037:Q1043)</f>
        <v>0</v>
      </c>
      <c r="R1036" s="126">
        <f t="shared" si="366"/>
        <v>0</v>
      </c>
      <c r="S1036" s="126">
        <f t="shared" si="366"/>
        <v>23342011.919999998</v>
      </c>
      <c r="T1036" s="126">
        <f t="shared" si="335"/>
        <v>1968.8596039002666</v>
      </c>
      <c r="U1036" s="126">
        <f>MAX(U1037:U1043)</f>
        <v>19059.946329879105</v>
      </c>
    </row>
    <row r="1037" spans="1:185" s="76" customFormat="1" ht="35.25" x14ac:dyDescent="0.25">
      <c r="A1037" s="76">
        <v>1</v>
      </c>
      <c r="B1037" s="138">
        <f>SUBTOTAL(103,$A$890:A1037)</f>
        <v>134</v>
      </c>
      <c r="C1037" s="139" t="s">
        <v>707</v>
      </c>
      <c r="D1037" s="140">
        <v>1976</v>
      </c>
      <c r="E1037" s="140"/>
      <c r="F1037" s="141" t="s">
        <v>340</v>
      </c>
      <c r="G1037" s="140">
        <v>2</v>
      </c>
      <c r="H1037" s="140">
        <v>2</v>
      </c>
      <c r="I1037" s="142">
        <v>279.7</v>
      </c>
      <c r="J1037" s="142">
        <v>175.8</v>
      </c>
      <c r="K1037" s="142">
        <v>175.8</v>
      </c>
      <c r="L1037" s="143">
        <v>12</v>
      </c>
      <c r="M1037" s="140" t="s">
        <v>272</v>
      </c>
      <c r="N1037" s="140" t="s">
        <v>273</v>
      </c>
      <c r="O1037" s="140" t="s">
        <v>275</v>
      </c>
      <c r="P1037" s="144">
        <v>1358190.18</v>
      </c>
      <c r="Q1037" s="144">
        <v>0</v>
      </c>
      <c r="R1037" s="144">
        <v>0</v>
      </c>
      <c r="S1037" s="144">
        <f t="shared" ref="S1037:S1043" si="367">P1037-Q1037-R1037</f>
        <v>1358190.18</v>
      </c>
      <c r="T1037" s="145">
        <f t="shared" si="335"/>
        <v>4855.8819449410084</v>
      </c>
      <c r="U1037" s="145">
        <v>6275.6634143725423</v>
      </c>
      <c r="DK1037" s="146"/>
      <c r="DL1037" s="146"/>
      <c r="DM1037" s="146"/>
      <c r="EA1037" s="147"/>
      <c r="EJ1037" s="148"/>
      <c r="FM1037" s="149"/>
      <c r="GC1037" s="150"/>
    </row>
    <row r="1038" spans="1:185" s="76" customFormat="1" ht="35.25" x14ac:dyDescent="0.25">
      <c r="A1038" s="76">
        <v>1</v>
      </c>
      <c r="B1038" s="138">
        <f>SUBTOTAL(103,$A$890:A1038)</f>
        <v>135</v>
      </c>
      <c r="C1038" s="139" t="s">
        <v>708</v>
      </c>
      <c r="D1038" s="140">
        <v>1981</v>
      </c>
      <c r="E1038" s="140"/>
      <c r="F1038" s="141" t="s">
        <v>274</v>
      </c>
      <c r="G1038" s="140">
        <v>5</v>
      </c>
      <c r="H1038" s="140">
        <v>2</v>
      </c>
      <c r="I1038" s="142">
        <v>2798</v>
      </c>
      <c r="J1038" s="142">
        <v>1711.4</v>
      </c>
      <c r="K1038" s="142">
        <v>1700.7</v>
      </c>
      <c r="L1038" s="143">
        <v>14</v>
      </c>
      <c r="M1038" s="140" t="s">
        <v>272</v>
      </c>
      <c r="N1038" s="140" t="s">
        <v>276</v>
      </c>
      <c r="O1038" s="140" t="s">
        <v>767</v>
      </c>
      <c r="P1038" s="144">
        <v>3973325</v>
      </c>
      <c r="Q1038" s="144">
        <v>0</v>
      </c>
      <c r="R1038" s="144">
        <v>0</v>
      </c>
      <c r="S1038" s="144">
        <f t="shared" si="367"/>
        <v>3973325</v>
      </c>
      <c r="T1038" s="145">
        <f t="shared" ref="T1038:T1101" si="368">P1038/I1038</f>
        <v>1420.0589706933524</v>
      </c>
      <c r="U1038" s="145">
        <v>2050.1374195854182</v>
      </c>
      <c r="DK1038" s="146"/>
      <c r="DL1038" s="146"/>
      <c r="DM1038" s="146"/>
      <c r="EA1038" s="147"/>
      <c r="EJ1038" s="148"/>
      <c r="FM1038" s="149"/>
      <c r="GC1038" s="150"/>
    </row>
    <row r="1039" spans="1:185" s="76" customFormat="1" ht="35.25" x14ac:dyDescent="0.25">
      <c r="A1039" s="76">
        <v>1</v>
      </c>
      <c r="B1039" s="138">
        <f>SUBTOTAL(103,$A$890:A1039)</f>
        <v>136</v>
      </c>
      <c r="C1039" s="139" t="s">
        <v>733</v>
      </c>
      <c r="D1039" s="140">
        <v>1980</v>
      </c>
      <c r="E1039" s="140"/>
      <c r="F1039" s="141" t="s">
        <v>274</v>
      </c>
      <c r="G1039" s="140">
        <v>2</v>
      </c>
      <c r="H1039" s="140">
        <v>3</v>
      </c>
      <c r="I1039" s="142">
        <v>939.9</v>
      </c>
      <c r="J1039" s="142">
        <v>833.2</v>
      </c>
      <c r="K1039" s="142">
        <v>830.3</v>
      </c>
      <c r="L1039" s="143">
        <v>21</v>
      </c>
      <c r="M1039" s="140" t="s">
        <v>272</v>
      </c>
      <c r="N1039" s="140" t="s">
        <v>276</v>
      </c>
      <c r="O1039" s="140" t="s">
        <v>1165</v>
      </c>
      <c r="P1039" s="144">
        <v>2687908</v>
      </c>
      <c r="Q1039" s="144">
        <v>0</v>
      </c>
      <c r="R1039" s="144">
        <v>0</v>
      </c>
      <c r="S1039" s="144">
        <f t="shared" si="367"/>
        <v>2687908</v>
      </c>
      <c r="T1039" s="145">
        <f t="shared" si="368"/>
        <v>2859.7808277476329</v>
      </c>
      <c r="U1039" s="145">
        <v>3952.6415416533673</v>
      </c>
      <c r="DK1039" s="146"/>
      <c r="DL1039" s="146"/>
      <c r="DM1039" s="146"/>
      <c r="EA1039" s="147"/>
      <c r="EJ1039" s="148"/>
      <c r="FM1039" s="149"/>
      <c r="GC1039" s="150"/>
    </row>
    <row r="1040" spans="1:185" s="76" customFormat="1" ht="35.25" x14ac:dyDescent="0.25">
      <c r="A1040" s="76">
        <v>1</v>
      </c>
      <c r="B1040" s="138">
        <f>SUBTOTAL(103,$A$890:A1040)</f>
        <v>137</v>
      </c>
      <c r="C1040" s="139" t="s">
        <v>717</v>
      </c>
      <c r="D1040" s="140">
        <v>1917</v>
      </c>
      <c r="E1040" s="140"/>
      <c r="F1040" s="141" t="s">
        <v>274</v>
      </c>
      <c r="G1040" s="140">
        <v>2</v>
      </c>
      <c r="H1040" s="140">
        <v>1</v>
      </c>
      <c r="I1040" s="142">
        <v>231.6</v>
      </c>
      <c r="J1040" s="142">
        <v>130.9</v>
      </c>
      <c r="K1040" s="142">
        <v>101.7</v>
      </c>
      <c r="L1040" s="143">
        <v>12</v>
      </c>
      <c r="M1040" s="140" t="s">
        <v>272</v>
      </c>
      <c r="N1040" s="140" t="s">
        <v>273</v>
      </c>
      <c r="O1040" s="140" t="s">
        <v>275</v>
      </c>
      <c r="P1040" s="144">
        <v>3058347.5</v>
      </c>
      <c r="Q1040" s="144">
        <v>0</v>
      </c>
      <c r="R1040" s="144">
        <v>0</v>
      </c>
      <c r="S1040" s="144">
        <f t="shared" si="367"/>
        <v>3058347.5</v>
      </c>
      <c r="T1040" s="145">
        <f t="shared" si="368"/>
        <v>13205.300086355786</v>
      </c>
      <c r="U1040" s="145">
        <v>19059.946329879105</v>
      </c>
      <c r="DK1040" s="146"/>
      <c r="DL1040" s="146"/>
      <c r="DM1040" s="146"/>
      <c r="EA1040" s="147"/>
      <c r="EJ1040" s="148"/>
      <c r="FM1040" s="149"/>
      <c r="GC1040" s="150"/>
    </row>
    <row r="1041" spans="1:185" s="76" customFormat="1" ht="35.25" x14ac:dyDescent="0.25">
      <c r="A1041" s="76">
        <v>1</v>
      </c>
      <c r="B1041" s="138">
        <f>SUBTOTAL(103,$A$890:A1041)</f>
        <v>138</v>
      </c>
      <c r="C1041" s="139" t="s">
        <v>716</v>
      </c>
      <c r="D1041" s="140">
        <v>1993</v>
      </c>
      <c r="E1041" s="140"/>
      <c r="F1041" s="141" t="s">
        <v>321</v>
      </c>
      <c r="G1041" s="140">
        <v>5</v>
      </c>
      <c r="H1041" s="140">
        <v>5</v>
      </c>
      <c r="I1041" s="142">
        <v>3247</v>
      </c>
      <c r="J1041" s="142">
        <v>3245</v>
      </c>
      <c r="K1041" s="142">
        <v>3245</v>
      </c>
      <c r="L1041" s="143">
        <v>121</v>
      </c>
      <c r="M1041" s="140" t="s">
        <v>272</v>
      </c>
      <c r="N1041" s="140" t="s">
        <v>351</v>
      </c>
      <c r="O1041" s="140" t="s">
        <v>770</v>
      </c>
      <c r="P1041" s="144">
        <v>5240868.3999999994</v>
      </c>
      <c r="Q1041" s="144">
        <v>0</v>
      </c>
      <c r="R1041" s="144">
        <v>0</v>
      </c>
      <c r="S1041" s="144">
        <f t="shared" si="367"/>
        <v>5240868.3999999994</v>
      </c>
      <c r="T1041" s="145">
        <f t="shared" si="368"/>
        <v>1614.064798275331</v>
      </c>
      <c r="U1041" s="145">
        <v>1974.4815214043733</v>
      </c>
      <c r="DK1041" s="146"/>
      <c r="DL1041" s="146"/>
      <c r="DM1041" s="146"/>
      <c r="EA1041" s="147"/>
      <c r="EJ1041" s="148"/>
      <c r="FM1041" s="149"/>
      <c r="GC1041" s="150"/>
    </row>
    <row r="1042" spans="1:185" s="76" customFormat="1" ht="35.25" x14ac:dyDescent="0.25">
      <c r="A1042" s="76">
        <v>1</v>
      </c>
      <c r="B1042" s="138">
        <f>SUBTOTAL(103,$A$890:A1042)</f>
        <v>139</v>
      </c>
      <c r="C1042" s="139" t="s">
        <v>702</v>
      </c>
      <c r="D1042" s="140">
        <v>1927</v>
      </c>
      <c r="E1042" s="140"/>
      <c r="F1042" s="141" t="s">
        <v>274</v>
      </c>
      <c r="G1042" s="140">
        <v>2</v>
      </c>
      <c r="H1042" s="140">
        <v>2</v>
      </c>
      <c r="I1042" s="142">
        <v>525.4</v>
      </c>
      <c r="J1042" s="142">
        <v>408.7</v>
      </c>
      <c r="K1042" s="142">
        <v>282</v>
      </c>
      <c r="L1042" s="143">
        <v>32</v>
      </c>
      <c r="M1042" s="140" t="s">
        <v>272</v>
      </c>
      <c r="N1042" s="140" t="s">
        <v>273</v>
      </c>
      <c r="O1042" s="140" t="s">
        <v>275</v>
      </c>
      <c r="P1042" s="144">
        <v>2526766.84</v>
      </c>
      <c r="Q1042" s="144">
        <v>0</v>
      </c>
      <c r="R1042" s="144">
        <v>0</v>
      </c>
      <c r="S1042" s="144">
        <f t="shared" si="367"/>
        <v>2526766.84</v>
      </c>
      <c r="T1042" s="145">
        <f t="shared" si="368"/>
        <v>4809.2250475827941</v>
      </c>
      <c r="U1042" s="145">
        <v>7064.5479634564144</v>
      </c>
      <c r="DK1042" s="146"/>
      <c r="DL1042" s="146"/>
      <c r="DM1042" s="146"/>
      <c r="EA1042" s="147"/>
      <c r="EJ1042" s="148"/>
      <c r="FM1042" s="149"/>
      <c r="GC1042" s="150"/>
    </row>
    <row r="1043" spans="1:185" s="76" customFormat="1" ht="35.25" x14ac:dyDescent="0.25">
      <c r="A1043" s="76">
        <v>1</v>
      </c>
      <c r="B1043" s="138">
        <f>SUBTOTAL(103,$A$890:A1043)</f>
        <v>140</v>
      </c>
      <c r="C1043" s="139" t="s">
        <v>703</v>
      </c>
      <c r="D1043" s="140">
        <v>1983</v>
      </c>
      <c r="E1043" s="140"/>
      <c r="F1043" s="141" t="s">
        <v>274</v>
      </c>
      <c r="G1043" s="140">
        <v>9</v>
      </c>
      <c r="H1043" s="140">
        <v>2</v>
      </c>
      <c r="I1043" s="142">
        <v>3834</v>
      </c>
      <c r="J1043" s="142">
        <v>3834</v>
      </c>
      <c r="K1043" s="142">
        <v>3802</v>
      </c>
      <c r="L1043" s="143">
        <v>87</v>
      </c>
      <c r="M1043" s="140" t="s">
        <v>272</v>
      </c>
      <c r="N1043" s="140" t="s">
        <v>351</v>
      </c>
      <c r="O1043" s="140" t="s">
        <v>774</v>
      </c>
      <c r="P1043" s="144">
        <v>4496606</v>
      </c>
      <c r="Q1043" s="144">
        <v>0</v>
      </c>
      <c r="R1043" s="144">
        <v>0</v>
      </c>
      <c r="S1043" s="144">
        <f t="shared" si="367"/>
        <v>4496606</v>
      </c>
      <c r="T1043" s="145">
        <f t="shared" si="368"/>
        <v>1172.8236828377674</v>
      </c>
      <c r="U1043" s="145">
        <v>1172.8236828377674</v>
      </c>
      <c r="DK1043" s="146"/>
      <c r="DL1043" s="146"/>
      <c r="DM1043" s="146"/>
      <c r="EA1043" s="147"/>
      <c r="EJ1043" s="148"/>
      <c r="FM1043" s="149"/>
      <c r="GC1043" s="150"/>
    </row>
    <row r="1044" spans="1:185" s="67" customFormat="1" ht="61.5" x14ac:dyDescent="0.9">
      <c r="B1044" s="115" t="s">
        <v>876</v>
      </c>
      <c r="C1044" s="119"/>
      <c r="D1044" s="122" t="s">
        <v>943</v>
      </c>
      <c r="E1044" s="122" t="s">
        <v>943</v>
      </c>
      <c r="F1044" s="122" t="s">
        <v>943</v>
      </c>
      <c r="G1044" s="122" t="s">
        <v>943</v>
      </c>
      <c r="H1044" s="122" t="s">
        <v>943</v>
      </c>
      <c r="I1044" s="123">
        <f>SUM(I1045:I1046)</f>
        <v>5829.2</v>
      </c>
      <c r="J1044" s="123">
        <f t="shared" ref="J1044:L1044" si="369">SUM(J1045:J1046)</f>
        <v>5360.1</v>
      </c>
      <c r="K1044" s="123">
        <f t="shared" si="369"/>
        <v>4964.8</v>
      </c>
      <c r="L1044" s="124">
        <f t="shared" si="369"/>
        <v>215</v>
      </c>
      <c r="M1044" s="122" t="s">
        <v>943</v>
      </c>
      <c r="N1044" s="122" t="s">
        <v>943</v>
      </c>
      <c r="O1044" s="125" t="s">
        <v>943</v>
      </c>
      <c r="P1044" s="126">
        <v>12591900</v>
      </c>
      <c r="Q1044" s="126">
        <f t="shared" ref="Q1044:S1044" si="370">Q1045+Q1046</f>
        <v>0</v>
      </c>
      <c r="R1044" s="126">
        <f t="shared" si="370"/>
        <v>0</v>
      </c>
      <c r="S1044" s="126">
        <f t="shared" si="370"/>
        <v>12591900</v>
      </c>
      <c r="T1044" s="126">
        <f t="shared" si="368"/>
        <v>2160.1420435051123</v>
      </c>
      <c r="U1044" s="126">
        <f>MAX(U1045:U1046)</f>
        <v>7408.4628862231921</v>
      </c>
    </row>
    <row r="1045" spans="1:185" s="76" customFormat="1" ht="35.25" x14ac:dyDescent="0.25">
      <c r="A1045" s="76">
        <v>1</v>
      </c>
      <c r="B1045" s="138">
        <f>SUBTOTAL(103,$A$890:A1045)</f>
        <v>141</v>
      </c>
      <c r="C1045" s="139" t="s">
        <v>240</v>
      </c>
      <c r="D1045" s="140">
        <v>1954</v>
      </c>
      <c r="E1045" s="140"/>
      <c r="F1045" s="141" t="s">
        <v>346</v>
      </c>
      <c r="G1045" s="140">
        <v>2</v>
      </c>
      <c r="H1045" s="140">
        <v>2</v>
      </c>
      <c r="I1045" s="142">
        <v>825.3</v>
      </c>
      <c r="J1045" s="142">
        <v>722</v>
      </c>
      <c r="K1045" s="142">
        <v>638.6</v>
      </c>
      <c r="L1045" s="143">
        <v>34</v>
      </c>
      <c r="M1045" s="140" t="s">
        <v>272</v>
      </c>
      <c r="N1045" s="140" t="s">
        <v>276</v>
      </c>
      <c r="O1045" s="140" t="s">
        <v>345</v>
      </c>
      <c r="P1045" s="144">
        <v>4620600</v>
      </c>
      <c r="Q1045" s="144">
        <v>0</v>
      </c>
      <c r="R1045" s="144">
        <v>0</v>
      </c>
      <c r="S1045" s="144">
        <f t="shared" ref="S1045:S1046" si="371">P1045-Q1045-R1045</f>
        <v>4620600</v>
      </c>
      <c r="T1045" s="145">
        <f t="shared" si="368"/>
        <v>5598.6913849509274</v>
      </c>
      <c r="U1045" s="145">
        <v>7408.4628862231921</v>
      </c>
      <c r="DK1045" s="146"/>
      <c r="DL1045" s="146"/>
      <c r="DM1045" s="146"/>
      <c r="EA1045" s="147"/>
      <c r="EJ1045" s="148"/>
      <c r="FM1045" s="149"/>
      <c r="GC1045" s="150"/>
    </row>
    <row r="1046" spans="1:185" s="76" customFormat="1" ht="35.25" x14ac:dyDescent="0.25">
      <c r="A1046" s="76">
        <v>1</v>
      </c>
      <c r="B1046" s="138">
        <f>SUBTOTAL(103,$A$890:A1046)</f>
        <v>142</v>
      </c>
      <c r="C1046" s="139" t="s">
        <v>244</v>
      </c>
      <c r="D1046" s="140">
        <v>1970</v>
      </c>
      <c r="E1046" s="140"/>
      <c r="F1046" s="141" t="s">
        <v>274</v>
      </c>
      <c r="G1046" s="140">
        <v>5</v>
      </c>
      <c r="H1046" s="140">
        <v>6</v>
      </c>
      <c r="I1046" s="142">
        <v>5003.8999999999996</v>
      </c>
      <c r="J1046" s="142">
        <v>4638.1000000000004</v>
      </c>
      <c r="K1046" s="142">
        <v>4326.2</v>
      </c>
      <c r="L1046" s="143">
        <v>181</v>
      </c>
      <c r="M1046" s="140" t="s">
        <v>272</v>
      </c>
      <c r="N1046" s="140" t="s">
        <v>276</v>
      </c>
      <c r="O1046" s="140" t="s">
        <v>343</v>
      </c>
      <c r="P1046" s="144">
        <v>7971300</v>
      </c>
      <c r="Q1046" s="144">
        <v>0</v>
      </c>
      <c r="R1046" s="144">
        <v>0</v>
      </c>
      <c r="S1046" s="144">
        <f t="shared" si="371"/>
        <v>7971300</v>
      </c>
      <c r="T1046" s="145">
        <f t="shared" si="368"/>
        <v>1593.0174463918145</v>
      </c>
      <c r="U1046" s="145">
        <v>2107.9587741561586</v>
      </c>
      <c r="DK1046" s="146"/>
      <c r="DL1046" s="146"/>
      <c r="DM1046" s="146"/>
      <c r="EA1046" s="147"/>
      <c r="EJ1046" s="148"/>
      <c r="FM1046" s="149"/>
      <c r="GC1046" s="150"/>
    </row>
    <row r="1047" spans="1:185" s="67" customFormat="1" ht="61.5" x14ac:dyDescent="0.9">
      <c r="B1047" s="115" t="s">
        <v>877</v>
      </c>
      <c r="C1047" s="115"/>
      <c r="D1047" s="122" t="s">
        <v>943</v>
      </c>
      <c r="E1047" s="122" t="s">
        <v>943</v>
      </c>
      <c r="F1047" s="122" t="s">
        <v>943</v>
      </c>
      <c r="G1047" s="122" t="s">
        <v>943</v>
      </c>
      <c r="H1047" s="122" t="s">
        <v>943</v>
      </c>
      <c r="I1047" s="123">
        <f>I1048</f>
        <v>396.2</v>
      </c>
      <c r="J1047" s="123">
        <f t="shared" ref="J1047:L1047" si="372">J1048</f>
        <v>372.4</v>
      </c>
      <c r="K1047" s="123">
        <f t="shared" si="372"/>
        <v>187.9</v>
      </c>
      <c r="L1047" s="124">
        <f t="shared" si="372"/>
        <v>21</v>
      </c>
      <c r="M1047" s="122" t="s">
        <v>943</v>
      </c>
      <c r="N1047" s="122" t="s">
        <v>943</v>
      </c>
      <c r="O1047" s="125" t="s">
        <v>943</v>
      </c>
      <c r="P1047" s="126">
        <v>1724820</v>
      </c>
      <c r="Q1047" s="126">
        <f t="shared" ref="Q1047:S1047" si="373">Q1048</f>
        <v>0</v>
      </c>
      <c r="R1047" s="126">
        <f t="shared" si="373"/>
        <v>0</v>
      </c>
      <c r="S1047" s="126">
        <f t="shared" si="373"/>
        <v>1724820</v>
      </c>
      <c r="T1047" s="126">
        <f t="shared" si="368"/>
        <v>4353.4073700151439</v>
      </c>
      <c r="U1047" s="126">
        <f>MAX(U1048)</f>
        <v>5760.6420343260979</v>
      </c>
    </row>
    <row r="1048" spans="1:185" s="76" customFormat="1" ht="35.25" x14ac:dyDescent="0.25">
      <c r="A1048" s="76">
        <v>1</v>
      </c>
      <c r="B1048" s="138">
        <f>SUBTOTAL(103,$A$890:A1048)</f>
        <v>143</v>
      </c>
      <c r="C1048" s="139" t="s">
        <v>249</v>
      </c>
      <c r="D1048" s="140">
        <v>1977</v>
      </c>
      <c r="E1048" s="140"/>
      <c r="F1048" s="141" t="s">
        <v>274</v>
      </c>
      <c r="G1048" s="140">
        <v>2</v>
      </c>
      <c r="H1048" s="140">
        <v>1</v>
      </c>
      <c r="I1048" s="142">
        <v>396.2</v>
      </c>
      <c r="J1048" s="142">
        <v>372.4</v>
      </c>
      <c r="K1048" s="142">
        <v>187.9</v>
      </c>
      <c r="L1048" s="143">
        <v>21</v>
      </c>
      <c r="M1048" s="140" t="s">
        <v>272</v>
      </c>
      <c r="N1048" s="140" t="s">
        <v>273</v>
      </c>
      <c r="O1048" s="140" t="s">
        <v>275</v>
      </c>
      <c r="P1048" s="144">
        <v>1724820</v>
      </c>
      <c r="Q1048" s="144">
        <v>0</v>
      </c>
      <c r="R1048" s="144">
        <v>0</v>
      </c>
      <c r="S1048" s="144">
        <f>P1048-Q1048-R1048</f>
        <v>1724820</v>
      </c>
      <c r="T1048" s="145">
        <f t="shared" si="368"/>
        <v>4353.4073700151439</v>
      </c>
      <c r="U1048" s="145">
        <v>5760.6420343260979</v>
      </c>
      <c r="DK1048" s="146"/>
      <c r="DL1048" s="146"/>
      <c r="DM1048" s="146"/>
      <c r="EA1048" s="147"/>
      <c r="EJ1048" s="148"/>
      <c r="FM1048" s="149"/>
      <c r="GC1048" s="150"/>
    </row>
    <row r="1049" spans="1:185" s="67" customFormat="1" ht="61.5" x14ac:dyDescent="0.9">
      <c r="B1049" s="115" t="s">
        <v>878</v>
      </c>
      <c r="C1049" s="115"/>
      <c r="D1049" s="122" t="s">
        <v>943</v>
      </c>
      <c r="E1049" s="122" t="s">
        <v>943</v>
      </c>
      <c r="F1049" s="122" t="s">
        <v>943</v>
      </c>
      <c r="G1049" s="122" t="s">
        <v>943</v>
      </c>
      <c r="H1049" s="122" t="s">
        <v>943</v>
      </c>
      <c r="I1049" s="123">
        <f>I1050</f>
        <v>1011.8</v>
      </c>
      <c r="J1049" s="123">
        <f t="shared" ref="J1049:L1049" si="374">J1050</f>
        <v>928.8</v>
      </c>
      <c r="K1049" s="123">
        <f t="shared" si="374"/>
        <v>827.3</v>
      </c>
      <c r="L1049" s="124">
        <f t="shared" si="374"/>
        <v>26</v>
      </c>
      <c r="M1049" s="122" t="s">
        <v>943</v>
      </c>
      <c r="N1049" s="122" t="s">
        <v>943</v>
      </c>
      <c r="O1049" s="125" t="s">
        <v>943</v>
      </c>
      <c r="P1049" s="126">
        <v>1739107.3499999999</v>
      </c>
      <c r="Q1049" s="126">
        <f t="shared" ref="Q1049:S1049" si="375">Q1050</f>
        <v>0</v>
      </c>
      <c r="R1049" s="126">
        <f t="shared" si="375"/>
        <v>0</v>
      </c>
      <c r="S1049" s="126">
        <f t="shared" si="375"/>
        <v>1739107.3499999999</v>
      </c>
      <c r="T1049" s="126">
        <f t="shared" si="368"/>
        <v>1718.8252124925873</v>
      </c>
      <c r="U1049" s="126">
        <f>MAX(U1050)</f>
        <v>4237.6187566712797</v>
      </c>
    </row>
    <row r="1050" spans="1:185" s="76" customFormat="1" ht="35.25" x14ac:dyDescent="0.25">
      <c r="A1050" s="76">
        <v>1</v>
      </c>
      <c r="B1050" s="138">
        <f>SUBTOTAL(103,$A$890:A1050)</f>
        <v>144</v>
      </c>
      <c r="C1050" s="139" t="s">
        <v>251</v>
      </c>
      <c r="D1050" s="140">
        <v>1979</v>
      </c>
      <c r="E1050" s="140"/>
      <c r="F1050" s="141" t="s">
        <v>321</v>
      </c>
      <c r="G1050" s="140">
        <v>3</v>
      </c>
      <c r="H1050" s="140">
        <v>2</v>
      </c>
      <c r="I1050" s="142">
        <v>1011.8</v>
      </c>
      <c r="J1050" s="142">
        <v>928.8</v>
      </c>
      <c r="K1050" s="142">
        <v>827.3</v>
      </c>
      <c r="L1050" s="143">
        <v>26</v>
      </c>
      <c r="M1050" s="140" t="s">
        <v>272</v>
      </c>
      <c r="N1050" s="140" t="s">
        <v>273</v>
      </c>
      <c r="O1050" s="140" t="s">
        <v>275</v>
      </c>
      <c r="P1050" s="144">
        <v>1739107.3499999999</v>
      </c>
      <c r="Q1050" s="144">
        <v>0</v>
      </c>
      <c r="R1050" s="144">
        <v>0</v>
      </c>
      <c r="S1050" s="144">
        <f>P1050-Q1050-R1050</f>
        <v>1739107.3499999999</v>
      </c>
      <c r="T1050" s="145">
        <f t="shared" si="368"/>
        <v>1718.8252124925873</v>
      </c>
      <c r="U1050" s="145">
        <v>4237.6187566712797</v>
      </c>
      <c r="DK1050" s="146"/>
      <c r="DL1050" s="146"/>
      <c r="DM1050" s="146"/>
      <c r="EA1050" s="147"/>
      <c r="EJ1050" s="148"/>
      <c r="FM1050" s="149"/>
      <c r="GC1050" s="150"/>
    </row>
    <row r="1051" spans="1:185" s="67" customFormat="1" ht="61.5" x14ac:dyDescent="0.9">
      <c r="B1051" s="115" t="s">
        <v>938</v>
      </c>
      <c r="C1051" s="120"/>
      <c r="D1051" s="122" t="s">
        <v>943</v>
      </c>
      <c r="E1051" s="122" t="s">
        <v>943</v>
      </c>
      <c r="F1051" s="122" t="s">
        <v>943</v>
      </c>
      <c r="G1051" s="122" t="s">
        <v>943</v>
      </c>
      <c r="H1051" s="122" t="s">
        <v>943</v>
      </c>
      <c r="I1051" s="123">
        <f>I1052</f>
        <v>594.20000000000005</v>
      </c>
      <c r="J1051" s="123">
        <f t="shared" ref="J1051:L1051" si="376">J1052</f>
        <v>550.6</v>
      </c>
      <c r="K1051" s="123">
        <f t="shared" si="376"/>
        <v>550.6</v>
      </c>
      <c r="L1051" s="124">
        <f t="shared" si="376"/>
        <v>23</v>
      </c>
      <c r="M1051" s="122" t="s">
        <v>943</v>
      </c>
      <c r="N1051" s="122" t="s">
        <v>943</v>
      </c>
      <c r="O1051" s="125" t="s">
        <v>943</v>
      </c>
      <c r="P1051" s="126">
        <v>3373804.98</v>
      </c>
      <c r="Q1051" s="126">
        <f t="shared" ref="Q1051:S1051" si="377">Q1052</f>
        <v>0</v>
      </c>
      <c r="R1051" s="126">
        <f t="shared" si="377"/>
        <v>0</v>
      </c>
      <c r="S1051" s="126">
        <f t="shared" si="377"/>
        <v>3373804.98</v>
      </c>
      <c r="T1051" s="126">
        <f t="shared" si="368"/>
        <v>5677.8946146078761</v>
      </c>
      <c r="U1051" s="126">
        <f>MAX(U1052)</f>
        <v>7338.0193150454379</v>
      </c>
    </row>
    <row r="1052" spans="1:185" s="76" customFormat="1" ht="35.25" x14ac:dyDescent="0.25">
      <c r="A1052" s="76">
        <v>1</v>
      </c>
      <c r="B1052" s="138">
        <f>SUBTOTAL(103,$A$890:A1052)</f>
        <v>145</v>
      </c>
      <c r="C1052" s="139" t="s">
        <v>4</v>
      </c>
      <c r="D1052" s="140">
        <v>1977</v>
      </c>
      <c r="E1052" s="140"/>
      <c r="F1052" s="141" t="s">
        <v>274</v>
      </c>
      <c r="G1052" s="140">
        <v>2</v>
      </c>
      <c r="H1052" s="140">
        <v>2</v>
      </c>
      <c r="I1052" s="142">
        <v>594.20000000000005</v>
      </c>
      <c r="J1052" s="142">
        <v>550.6</v>
      </c>
      <c r="K1052" s="142">
        <v>550.6</v>
      </c>
      <c r="L1052" s="143">
        <v>23</v>
      </c>
      <c r="M1052" s="140" t="s">
        <v>272</v>
      </c>
      <c r="N1052" s="140" t="s">
        <v>273</v>
      </c>
      <c r="O1052" s="140" t="s">
        <v>275</v>
      </c>
      <c r="P1052" s="144">
        <v>3373804.98</v>
      </c>
      <c r="Q1052" s="144">
        <v>0</v>
      </c>
      <c r="R1052" s="144">
        <v>0</v>
      </c>
      <c r="S1052" s="144">
        <f>P1052-Q1052-R1052</f>
        <v>3373804.98</v>
      </c>
      <c r="T1052" s="145">
        <f t="shared" si="368"/>
        <v>5677.8946146078761</v>
      </c>
      <c r="U1052" s="145">
        <v>7338.0193150454379</v>
      </c>
      <c r="DK1052" s="146"/>
      <c r="DL1052" s="146"/>
      <c r="DM1052" s="146"/>
      <c r="EA1052" s="147"/>
      <c r="EJ1052" s="148"/>
      <c r="FM1052" s="149"/>
      <c r="GC1052" s="150"/>
    </row>
    <row r="1053" spans="1:185" s="67" customFormat="1" ht="61.5" x14ac:dyDescent="0.9">
      <c r="B1053" s="115" t="s">
        <v>939</v>
      </c>
      <c r="C1053" s="121"/>
      <c r="D1053" s="122" t="s">
        <v>943</v>
      </c>
      <c r="E1053" s="122" t="s">
        <v>943</v>
      </c>
      <c r="F1053" s="122" t="s">
        <v>943</v>
      </c>
      <c r="G1053" s="122" t="s">
        <v>943</v>
      </c>
      <c r="H1053" s="122" t="s">
        <v>943</v>
      </c>
      <c r="I1053" s="123">
        <f>I1054</f>
        <v>833.6</v>
      </c>
      <c r="J1053" s="123">
        <f t="shared" ref="J1053:L1053" si="378">J1054</f>
        <v>701</v>
      </c>
      <c r="K1053" s="123">
        <f t="shared" si="378"/>
        <v>683.1</v>
      </c>
      <c r="L1053" s="124">
        <f t="shared" si="378"/>
        <v>32</v>
      </c>
      <c r="M1053" s="122" t="s">
        <v>943</v>
      </c>
      <c r="N1053" s="122" t="s">
        <v>943</v>
      </c>
      <c r="O1053" s="125" t="s">
        <v>943</v>
      </c>
      <c r="P1053" s="126">
        <v>3916350</v>
      </c>
      <c r="Q1053" s="126">
        <f t="shared" ref="Q1053:S1053" si="379">Q1054</f>
        <v>0</v>
      </c>
      <c r="R1053" s="126">
        <f t="shared" si="379"/>
        <v>0</v>
      </c>
      <c r="S1053" s="126">
        <f t="shared" si="379"/>
        <v>3916350</v>
      </c>
      <c r="T1053" s="126">
        <f t="shared" si="368"/>
        <v>4698.1166026871397</v>
      </c>
      <c r="U1053" s="126">
        <f>MAX(U1054)</f>
        <v>6071.7700335892514</v>
      </c>
    </row>
    <row r="1054" spans="1:185" s="76" customFormat="1" ht="35.25" x14ac:dyDescent="0.25">
      <c r="A1054" s="76">
        <v>1</v>
      </c>
      <c r="B1054" s="138">
        <f>SUBTOTAL(103,$A$890:A1054)</f>
        <v>146</v>
      </c>
      <c r="C1054" s="139" t="s">
        <v>3</v>
      </c>
      <c r="D1054" s="140">
        <v>1988</v>
      </c>
      <c r="E1054" s="140"/>
      <c r="F1054" s="141" t="s">
        <v>274</v>
      </c>
      <c r="G1054" s="140">
        <v>2</v>
      </c>
      <c r="H1054" s="140">
        <v>3</v>
      </c>
      <c r="I1054" s="142">
        <v>833.6</v>
      </c>
      <c r="J1054" s="142">
        <v>701</v>
      </c>
      <c r="K1054" s="142">
        <v>683.1</v>
      </c>
      <c r="L1054" s="143">
        <v>32</v>
      </c>
      <c r="M1054" s="140" t="s">
        <v>272</v>
      </c>
      <c r="N1054" s="140" t="s">
        <v>273</v>
      </c>
      <c r="O1054" s="140" t="s">
        <v>275</v>
      </c>
      <c r="P1054" s="144">
        <v>3916350</v>
      </c>
      <c r="Q1054" s="144">
        <v>0</v>
      </c>
      <c r="R1054" s="144">
        <v>0</v>
      </c>
      <c r="S1054" s="144">
        <f>P1054-Q1054-R1054</f>
        <v>3916350</v>
      </c>
      <c r="T1054" s="145">
        <f t="shared" si="368"/>
        <v>4698.1166026871397</v>
      </c>
      <c r="U1054" s="145">
        <v>6071.7700335892514</v>
      </c>
      <c r="DK1054" s="146"/>
      <c r="DL1054" s="146"/>
      <c r="DM1054" s="146"/>
      <c r="EA1054" s="147"/>
      <c r="EJ1054" s="148"/>
      <c r="FM1054" s="149"/>
      <c r="GC1054" s="150"/>
    </row>
    <row r="1055" spans="1:185" s="67" customFormat="1" ht="61.5" x14ac:dyDescent="0.9">
      <c r="B1055" s="115" t="s">
        <v>880</v>
      </c>
      <c r="C1055" s="119"/>
      <c r="D1055" s="122" t="s">
        <v>943</v>
      </c>
      <c r="E1055" s="122" t="s">
        <v>943</v>
      </c>
      <c r="F1055" s="122" t="s">
        <v>943</v>
      </c>
      <c r="G1055" s="122" t="s">
        <v>943</v>
      </c>
      <c r="H1055" s="122" t="s">
        <v>943</v>
      </c>
      <c r="I1055" s="123">
        <f>SUM(I1056:I1057)</f>
        <v>2184</v>
      </c>
      <c r="J1055" s="123">
        <f t="shared" ref="J1055:L1055" si="380">SUM(J1056:J1057)</f>
        <v>1641.1</v>
      </c>
      <c r="K1055" s="123">
        <f t="shared" si="380"/>
        <v>1606.7</v>
      </c>
      <c r="L1055" s="124">
        <f t="shared" si="380"/>
        <v>57</v>
      </c>
      <c r="M1055" s="122" t="s">
        <v>943</v>
      </c>
      <c r="N1055" s="122" t="s">
        <v>943</v>
      </c>
      <c r="O1055" s="125" t="s">
        <v>943</v>
      </c>
      <c r="P1055" s="126">
        <v>3516578.96</v>
      </c>
      <c r="Q1055" s="126">
        <f t="shared" ref="Q1055:S1055" si="381">Q1056+Q1057</f>
        <v>0</v>
      </c>
      <c r="R1055" s="126">
        <f t="shared" si="381"/>
        <v>0</v>
      </c>
      <c r="S1055" s="126">
        <f t="shared" si="381"/>
        <v>3516578.96</v>
      </c>
      <c r="T1055" s="126">
        <f t="shared" si="368"/>
        <v>1610.1552014652013</v>
      </c>
      <c r="U1055" s="126">
        <f>MAX(U1056:U1057)</f>
        <v>4558.2158142555609</v>
      </c>
    </row>
    <row r="1056" spans="1:185" s="76" customFormat="1" ht="35.25" x14ac:dyDescent="0.25">
      <c r="A1056" s="76">
        <v>1</v>
      </c>
      <c r="B1056" s="138">
        <f>SUBTOTAL(103,$A$890:A1056)</f>
        <v>147</v>
      </c>
      <c r="C1056" s="139" t="s">
        <v>744</v>
      </c>
      <c r="D1056" s="140">
        <v>1962</v>
      </c>
      <c r="E1056" s="140"/>
      <c r="F1056" s="141" t="s">
        <v>274</v>
      </c>
      <c r="G1056" s="140">
        <v>5</v>
      </c>
      <c r="H1056" s="140">
        <v>2</v>
      </c>
      <c r="I1056" s="142">
        <v>1568.1</v>
      </c>
      <c r="J1056" s="142">
        <v>1273.0999999999999</v>
      </c>
      <c r="K1056" s="142">
        <v>1238.7</v>
      </c>
      <c r="L1056" s="143">
        <v>45</v>
      </c>
      <c r="M1056" s="140" t="s">
        <v>272</v>
      </c>
      <c r="N1056" s="140" t="s">
        <v>276</v>
      </c>
      <c r="O1056" s="140" t="s">
        <v>777</v>
      </c>
      <c r="P1056" s="144">
        <v>1913529.37</v>
      </c>
      <c r="Q1056" s="144">
        <v>0</v>
      </c>
      <c r="R1056" s="144">
        <v>0</v>
      </c>
      <c r="S1056" s="144">
        <f t="shared" ref="S1056:S1057" si="382">P1056-Q1056-R1056</f>
        <v>1913529.37</v>
      </c>
      <c r="T1056" s="145">
        <f t="shared" si="368"/>
        <v>1220.2852943052103</v>
      </c>
      <c r="U1056" s="145">
        <v>1893.6106115681398</v>
      </c>
      <c r="DK1056" s="146"/>
      <c r="DL1056" s="146"/>
      <c r="DM1056" s="146"/>
      <c r="EA1056" s="147"/>
      <c r="EJ1056" s="148"/>
      <c r="FM1056" s="149"/>
      <c r="GC1056" s="150"/>
    </row>
    <row r="1057" spans="1:185" s="76" customFormat="1" ht="35.25" x14ac:dyDescent="0.25">
      <c r="A1057" s="76">
        <v>1</v>
      </c>
      <c r="B1057" s="138">
        <f>SUBTOTAL(103,$A$890:A1057)</f>
        <v>148</v>
      </c>
      <c r="C1057" s="139" t="s">
        <v>742</v>
      </c>
      <c r="D1057" s="140">
        <v>1988</v>
      </c>
      <c r="E1057" s="140" t="s">
        <v>779</v>
      </c>
      <c r="F1057" s="141" t="s">
        <v>274</v>
      </c>
      <c r="G1057" s="140">
        <v>2</v>
      </c>
      <c r="H1057" s="140">
        <v>1</v>
      </c>
      <c r="I1057" s="142">
        <v>615.9</v>
      </c>
      <c r="J1057" s="142">
        <v>368</v>
      </c>
      <c r="K1057" s="142">
        <v>368</v>
      </c>
      <c r="L1057" s="143">
        <v>12</v>
      </c>
      <c r="M1057" s="140" t="s">
        <v>272</v>
      </c>
      <c r="N1057" s="140" t="s">
        <v>276</v>
      </c>
      <c r="O1057" s="140" t="s">
        <v>777</v>
      </c>
      <c r="P1057" s="144">
        <v>1603049.59</v>
      </c>
      <c r="Q1057" s="144">
        <v>0</v>
      </c>
      <c r="R1057" s="144">
        <v>0</v>
      </c>
      <c r="S1057" s="144">
        <f t="shared" si="382"/>
        <v>1603049.59</v>
      </c>
      <c r="T1057" s="145">
        <f t="shared" si="368"/>
        <v>2602.7757590517945</v>
      </c>
      <c r="U1057" s="145">
        <v>4558.2158142555609</v>
      </c>
      <c r="DK1057" s="146"/>
      <c r="DL1057" s="146"/>
      <c r="DM1057" s="146"/>
      <c r="EA1057" s="147"/>
      <c r="EJ1057" s="148"/>
      <c r="FM1057" s="149"/>
      <c r="GC1057" s="150"/>
    </row>
    <row r="1058" spans="1:185" s="67" customFormat="1" ht="61.5" x14ac:dyDescent="0.9">
      <c r="B1058" s="115" t="s">
        <v>922</v>
      </c>
      <c r="C1058" s="115"/>
      <c r="D1058" s="122" t="s">
        <v>943</v>
      </c>
      <c r="E1058" s="122" t="s">
        <v>943</v>
      </c>
      <c r="F1058" s="122" t="s">
        <v>943</v>
      </c>
      <c r="G1058" s="122" t="s">
        <v>943</v>
      </c>
      <c r="H1058" s="122" t="s">
        <v>943</v>
      </c>
      <c r="I1058" s="123">
        <f>I1059</f>
        <v>1069.5</v>
      </c>
      <c r="J1058" s="123">
        <f t="shared" ref="J1058:L1058" si="383">J1059</f>
        <v>1035.2</v>
      </c>
      <c r="K1058" s="123">
        <f t="shared" si="383"/>
        <v>1035.2</v>
      </c>
      <c r="L1058" s="124">
        <f t="shared" si="383"/>
        <v>39</v>
      </c>
      <c r="M1058" s="122" t="s">
        <v>943</v>
      </c>
      <c r="N1058" s="122" t="s">
        <v>943</v>
      </c>
      <c r="O1058" s="125" t="s">
        <v>943</v>
      </c>
      <c r="P1058" s="126">
        <v>3598749.4899999998</v>
      </c>
      <c r="Q1058" s="126">
        <f t="shared" ref="Q1058:S1058" si="384">Q1059</f>
        <v>0</v>
      </c>
      <c r="R1058" s="126">
        <f t="shared" si="384"/>
        <v>0</v>
      </c>
      <c r="S1058" s="126">
        <f t="shared" si="384"/>
        <v>3598749.4899999998</v>
      </c>
      <c r="T1058" s="126">
        <f t="shared" si="368"/>
        <v>3364.8896587190275</v>
      </c>
      <c r="U1058" s="126">
        <f>MAX(U1059)</f>
        <v>6157.3208097241695</v>
      </c>
    </row>
    <row r="1059" spans="1:185" s="76" customFormat="1" ht="35.25" x14ac:dyDescent="0.25">
      <c r="A1059" s="76">
        <v>1</v>
      </c>
      <c r="B1059" s="138">
        <f>SUBTOTAL(103,$A$890:A1059)</f>
        <v>149</v>
      </c>
      <c r="C1059" s="139" t="s">
        <v>750</v>
      </c>
      <c r="D1059" s="140">
        <v>1995</v>
      </c>
      <c r="E1059" s="140"/>
      <c r="F1059" s="141" t="s">
        <v>274</v>
      </c>
      <c r="G1059" s="140">
        <v>2</v>
      </c>
      <c r="H1059" s="140">
        <v>2</v>
      </c>
      <c r="I1059" s="142">
        <v>1069.5</v>
      </c>
      <c r="J1059" s="142">
        <v>1035.2</v>
      </c>
      <c r="K1059" s="142">
        <v>1035.2</v>
      </c>
      <c r="L1059" s="143">
        <v>39</v>
      </c>
      <c r="M1059" s="140" t="s">
        <v>272</v>
      </c>
      <c r="N1059" s="140" t="s">
        <v>273</v>
      </c>
      <c r="O1059" s="140" t="s">
        <v>275</v>
      </c>
      <c r="P1059" s="144">
        <v>3598749.4899999998</v>
      </c>
      <c r="Q1059" s="144">
        <v>0</v>
      </c>
      <c r="R1059" s="144">
        <v>0</v>
      </c>
      <c r="S1059" s="144">
        <f>P1059-Q1059-R1059</f>
        <v>3598749.4899999998</v>
      </c>
      <c r="T1059" s="145">
        <f t="shared" si="368"/>
        <v>3364.8896587190275</v>
      </c>
      <c r="U1059" s="145">
        <v>6157.3208097241695</v>
      </c>
      <c r="DK1059" s="146"/>
      <c r="DL1059" s="146"/>
      <c r="DM1059" s="146"/>
      <c r="EA1059" s="147"/>
      <c r="EJ1059" s="148"/>
      <c r="FM1059" s="149"/>
      <c r="GC1059" s="150"/>
    </row>
    <row r="1060" spans="1:185" s="67" customFormat="1" ht="61.5" x14ac:dyDescent="0.9">
      <c r="B1060" s="115" t="s">
        <v>882</v>
      </c>
      <c r="C1060" s="115"/>
      <c r="D1060" s="122" t="s">
        <v>943</v>
      </c>
      <c r="E1060" s="122" t="s">
        <v>943</v>
      </c>
      <c r="F1060" s="122" t="s">
        <v>943</v>
      </c>
      <c r="G1060" s="122" t="s">
        <v>943</v>
      </c>
      <c r="H1060" s="122" t="s">
        <v>943</v>
      </c>
      <c r="I1060" s="123">
        <f>I1061</f>
        <v>630</v>
      </c>
      <c r="J1060" s="123">
        <f t="shared" ref="J1060:L1060" si="385">J1061</f>
        <v>576.1</v>
      </c>
      <c r="K1060" s="123">
        <f t="shared" si="385"/>
        <v>576.1</v>
      </c>
      <c r="L1060" s="124">
        <f t="shared" si="385"/>
        <v>32</v>
      </c>
      <c r="M1060" s="122" t="s">
        <v>943</v>
      </c>
      <c r="N1060" s="122" t="s">
        <v>943</v>
      </c>
      <c r="O1060" s="125" t="s">
        <v>943</v>
      </c>
      <c r="P1060" s="126">
        <v>3488946.79</v>
      </c>
      <c r="Q1060" s="126">
        <f t="shared" ref="Q1060:S1060" si="386">Q1061</f>
        <v>0</v>
      </c>
      <c r="R1060" s="126">
        <f t="shared" si="386"/>
        <v>0</v>
      </c>
      <c r="S1060" s="126">
        <f t="shared" si="386"/>
        <v>3488946.79</v>
      </c>
      <c r="T1060" s="126">
        <f t="shared" si="368"/>
        <v>5538.0107777777775</v>
      </c>
      <c r="U1060" s="126">
        <f>MAX(U1061)</f>
        <v>10122.855</v>
      </c>
    </row>
    <row r="1061" spans="1:185" s="76" customFormat="1" ht="35.25" x14ac:dyDescent="0.25">
      <c r="A1061" s="76">
        <v>1</v>
      </c>
      <c r="B1061" s="138">
        <f>SUBTOTAL(103,$A$890:A1061)</f>
        <v>150</v>
      </c>
      <c r="C1061" s="139" t="s">
        <v>748</v>
      </c>
      <c r="D1061" s="140">
        <v>1987</v>
      </c>
      <c r="E1061" s="140"/>
      <c r="F1061" s="141" t="s">
        <v>274</v>
      </c>
      <c r="G1061" s="140">
        <v>2</v>
      </c>
      <c r="H1061" s="140">
        <v>2</v>
      </c>
      <c r="I1061" s="142">
        <v>630</v>
      </c>
      <c r="J1061" s="142">
        <v>576.1</v>
      </c>
      <c r="K1061" s="142">
        <v>576.1</v>
      </c>
      <c r="L1061" s="143">
        <v>32</v>
      </c>
      <c r="M1061" s="140" t="s">
        <v>272</v>
      </c>
      <c r="N1061" s="140" t="s">
        <v>273</v>
      </c>
      <c r="O1061" s="140" t="s">
        <v>275</v>
      </c>
      <c r="P1061" s="144">
        <v>3488946.79</v>
      </c>
      <c r="Q1061" s="144">
        <v>0</v>
      </c>
      <c r="R1061" s="144">
        <v>0</v>
      </c>
      <c r="S1061" s="144">
        <f>P1061-Q1061-R1061</f>
        <v>3488946.79</v>
      </c>
      <c r="T1061" s="145">
        <f t="shared" si="368"/>
        <v>5538.0107777777775</v>
      </c>
      <c r="U1061" s="145">
        <v>10122.855</v>
      </c>
      <c r="DK1061" s="146"/>
      <c r="DL1061" s="146"/>
      <c r="DM1061" s="146"/>
      <c r="EA1061" s="147"/>
      <c r="EJ1061" s="148"/>
      <c r="FM1061" s="149"/>
      <c r="GC1061" s="150"/>
    </row>
    <row r="1062" spans="1:185" s="67" customFormat="1" ht="61.5" x14ac:dyDescent="0.9">
      <c r="B1062" s="115" t="s">
        <v>940</v>
      </c>
      <c r="C1062" s="115"/>
      <c r="D1062" s="122" t="s">
        <v>943</v>
      </c>
      <c r="E1062" s="122" t="s">
        <v>943</v>
      </c>
      <c r="F1062" s="122" t="s">
        <v>943</v>
      </c>
      <c r="G1062" s="122" t="s">
        <v>943</v>
      </c>
      <c r="H1062" s="122" t="s">
        <v>943</v>
      </c>
      <c r="I1062" s="123">
        <f>I1063</f>
        <v>626.5</v>
      </c>
      <c r="J1062" s="123">
        <f t="shared" ref="J1062:L1062" si="387">J1063</f>
        <v>568.5</v>
      </c>
      <c r="K1062" s="123">
        <f t="shared" si="387"/>
        <v>568.5</v>
      </c>
      <c r="L1062" s="124">
        <f t="shared" si="387"/>
        <v>23</v>
      </c>
      <c r="M1062" s="122" t="s">
        <v>943</v>
      </c>
      <c r="N1062" s="122" t="s">
        <v>943</v>
      </c>
      <c r="O1062" s="125" t="s">
        <v>943</v>
      </c>
      <c r="P1062" s="126">
        <v>1538879.17</v>
      </c>
      <c r="Q1062" s="126">
        <f t="shared" ref="Q1062:S1062" si="388">Q1063</f>
        <v>0</v>
      </c>
      <c r="R1062" s="126">
        <f t="shared" si="388"/>
        <v>0</v>
      </c>
      <c r="S1062" s="126">
        <f t="shared" si="388"/>
        <v>1538879.17</v>
      </c>
      <c r="T1062" s="126">
        <f t="shared" si="368"/>
        <v>2456.31152434158</v>
      </c>
      <c r="U1062" s="126">
        <f>MAX(U1063)</f>
        <v>4287.2000957701512</v>
      </c>
    </row>
    <row r="1063" spans="1:185" s="76" customFormat="1" ht="35.25" x14ac:dyDescent="0.25">
      <c r="A1063" s="76">
        <v>1</v>
      </c>
      <c r="B1063" s="138">
        <f>SUBTOTAL(103,$A$890:A1063)</f>
        <v>151</v>
      </c>
      <c r="C1063" s="139" t="s">
        <v>745</v>
      </c>
      <c r="D1063" s="140">
        <v>1978</v>
      </c>
      <c r="E1063" s="140"/>
      <c r="F1063" s="141" t="s">
        <v>274</v>
      </c>
      <c r="G1063" s="140">
        <v>2</v>
      </c>
      <c r="H1063" s="140">
        <v>2</v>
      </c>
      <c r="I1063" s="142">
        <v>626.5</v>
      </c>
      <c r="J1063" s="142">
        <v>568.5</v>
      </c>
      <c r="K1063" s="142">
        <v>568.5</v>
      </c>
      <c r="L1063" s="143">
        <v>23</v>
      </c>
      <c r="M1063" s="140" t="s">
        <v>272</v>
      </c>
      <c r="N1063" s="140" t="s">
        <v>273</v>
      </c>
      <c r="O1063" s="140" t="s">
        <v>275</v>
      </c>
      <c r="P1063" s="144">
        <v>1538879.17</v>
      </c>
      <c r="Q1063" s="144">
        <v>0</v>
      </c>
      <c r="R1063" s="144">
        <v>0</v>
      </c>
      <c r="S1063" s="144">
        <f>P1063-Q1063-R1063</f>
        <v>1538879.17</v>
      </c>
      <c r="T1063" s="145">
        <f t="shared" si="368"/>
        <v>2456.31152434158</v>
      </c>
      <c r="U1063" s="145">
        <v>4287.2000957701512</v>
      </c>
      <c r="DK1063" s="146"/>
      <c r="DL1063" s="146"/>
      <c r="DM1063" s="146"/>
      <c r="EA1063" s="147"/>
      <c r="EJ1063" s="148"/>
      <c r="FM1063" s="149"/>
      <c r="GC1063" s="150"/>
    </row>
    <row r="1064" spans="1:185" s="67" customFormat="1" ht="61.5" x14ac:dyDescent="0.9">
      <c r="B1064" s="115" t="s">
        <v>883</v>
      </c>
      <c r="C1064" s="119"/>
      <c r="D1064" s="122" t="s">
        <v>943</v>
      </c>
      <c r="E1064" s="122" t="s">
        <v>943</v>
      </c>
      <c r="F1064" s="122" t="s">
        <v>943</v>
      </c>
      <c r="G1064" s="122" t="s">
        <v>943</v>
      </c>
      <c r="H1064" s="122" t="s">
        <v>943</v>
      </c>
      <c r="I1064" s="123">
        <f>SUM(I1065:I1070)</f>
        <v>20161.53</v>
      </c>
      <c r="J1064" s="123">
        <f t="shared" ref="J1064:L1064" si="389">SUM(J1065:J1070)</f>
        <v>15082.98</v>
      </c>
      <c r="K1064" s="123">
        <f t="shared" si="389"/>
        <v>14836.7</v>
      </c>
      <c r="L1064" s="124">
        <f t="shared" si="389"/>
        <v>621</v>
      </c>
      <c r="M1064" s="122" t="s">
        <v>943</v>
      </c>
      <c r="N1064" s="122" t="s">
        <v>943</v>
      </c>
      <c r="O1064" s="125" t="s">
        <v>943</v>
      </c>
      <c r="P1064" s="126">
        <v>28415186.600000001</v>
      </c>
      <c r="Q1064" s="126">
        <f t="shared" ref="Q1064:S1064" si="390">SUM(Q1065:Q1070)</f>
        <v>0</v>
      </c>
      <c r="R1064" s="126">
        <f t="shared" si="390"/>
        <v>0</v>
      </c>
      <c r="S1064" s="126">
        <f t="shared" si="390"/>
        <v>28415186.600000001</v>
      </c>
      <c r="T1064" s="126">
        <f t="shared" si="368"/>
        <v>1409.3765006921599</v>
      </c>
      <c r="U1064" s="126">
        <f>MAX(U1065:U1070)</f>
        <v>6026.1611105097954</v>
      </c>
    </row>
    <row r="1065" spans="1:185" s="76" customFormat="1" ht="35.25" x14ac:dyDescent="0.25">
      <c r="A1065" s="76">
        <v>1</v>
      </c>
      <c r="B1065" s="138">
        <f>SUBTOTAL(103,$A$890:A1065)</f>
        <v>152</v>
      </c>
      <c r="C1065" s="139" t="s">
        <v>136</v>
      </c>
      <c r="D1065" s="140">
        <v>1994</v>
      </c>
      <c r="E1065" s="140"/>
      <c r="F1065" s="141" t="s">
        <v>274</v>
      </c>
      <c r="G1065" s="140">
        <v>4</v>
      </c>
      <c r="H1065" s="140">
        <v>4</v>
      </c>
      <c r="I1065" s="142">
        <v>3731.88</v>
      </c>
      <c r="J1065" s="142">
        <v>2769.88</v>
      </c>
      <c r="K1065" s="142">
        <v>2769</v>
      </c>
      <c r="L1065" s="143">
        <v>112</v>
      </c>
      <c r="M1065" s="140" t="s">
        <v>272</v>
      </c>
      <c r="N1065" s="140" t="s">
        <v>276</v>
      </c>
      <c r="O1065" s="140" t="s">
        <v>292</v>
      </c>
      <c r="P1065" s="144">
        <v>5875000</v>
      </c>
      <c r="Q1065" s="144">
        <v>0</v>
      </c>
      <c r="R1065" s="144">
        <v>0</v>
      </c>
      <c r="S1065" s="144">
        <f t="shared" ref="S1065:S1070" si="391">P1065-Q1065-R1065</f>
        <v>5875000</v>
      </c>
      <c r="T1065" s="145">
        <f t="shared" si="368"/>
        <v>1574.2735564916343</v>
      </c>
      <c r="U1065" s="145">
        <v>2124.8190590265494</v>
      </c>
      <c r="DK1065" s="146"/>
      <c r="DL1065" s="146"/>
      <c r="DM1065" s="146"/>
      <c r="EA1065" s="147"/>
      <c r="EJ1065" s="148"/>
      <c r="FM1065" s="149"/>
      <c r="GC1065" s="150"/>
    </row>
    <row r="1066" spans="1:185" s="76" customFormat="1" ht="35.25" x14ac:dyDescent="0.25">
      <c r="A1066" s="76">
        <v>1</v>
      </c>
      <c r="B1066" s="138">
        <f>SUBTOTAL(103,$A$890:A1066)</f>
        <v>153</v>
      </c>
      <c r="C1066" s="139" t="s">
        <v>133</v>
      </c>
      <c r="D1066" s="140">
        <v>1992</v>
      </c>
      <c r="E1066" s="140"/>
      <c r="F1066" s="141" t="s">
        <v>274</v>
      </c>
      <c r="G1066" s="140">
        <v>2</v>
      </c>
      <c r="H1066" s="140">
        <v>3</v>
      </c>
      <c r="I1066" s="142">
        <v>1621.8</v>
      </c>
      <c r="J1066" s="142">
        <v>965.3</v>
      </c>
      <c r="K1066" s="142">
        <v>915.9</v>
      </c>
      <c r="L1066" s="143">
        <v>39</v>
      </c>
      <c r="M1066" s="140" t="s">
        <v>272</v>
      </c>
      <c r="N1066" s="140" t="s">
        <v>276</v>
      </c>
      <c r="O1066" s="140" t="s">
        <v>292</v>
      </c>
      <c r="P1066" s="144">
        <v>4890386.5999999996</v>
      </c>
      <c r="Q1066" s="144">
        <v>0</v>
      </c>
      <c r="R1066" s="144">
        <v>0</v>
      </c>
      <c r="S1066" s="144">
        <f t="shared" si="391"/>
        <v>4890386.5999999996</v>
      </c>
      <c r="T1066" s="145">
        <f t="shared" si="368"/>
        <v>3015.4067085953875</v>
      </c>
      <c r="U1066" s="145">
        <v>3112.5480083857437</v>
      </c>
      <c r="DK1066" s="146"/>
      <c r="DL1066" s="146"/>
      <c r="DM1066" s="146"/>
      <c r="EA1066" s="147"/>
      <c r="EJ1066" s="148"/>
      <c r="FM1066" s="149"/>
      <c r="GC1066" s="150"/>
    </row>
    <row r="1067" spans="1:185" s="76" customFormat="1" ht="35.25" x14ac:dyDescent="0.25">
      <c r="A1067" s="76">
        <v>1</v>
      </c>
      <c r="B1067" s="138">
        <f>SUBTOTAL(103,$A$890:A1067)</f>
        <v>154</v>
      </c>
      <c r="C1067" s="139" t="s">
        <v>138</v>
      </c>
      <c r="D1067" s="140">
        <v>1986</v>
      </c>
      <c r="E1067" s="140"/>
      <c r="F1067" s="141" t="s">
        <v>274</v>
      </c>
      <c r="G1067" s="140">
        <v>2</v>
      </c>
      <c r="H1067" s="140">
        <v>3</v>
      </c>
      <c r="I1067" s="142">
        <v>923.9</v>
      </c>
      <c r="J1067" s="142">
        <v>841.9</v>
      </c>
      <c r="K1067" s="142">
        <v>646.1</v>
      </c>
      <c r="L1067" s="143">
        <v>47</v>
      </c>
      <c r="M1067" s="140" t="s">
        <v>272</v>
      </c>
      <c r="N1067" s="140" t="s">
        <v>276</v>
      </c>
      <c r="O1067" s="140" t="s">
        <v>292</v>
      </c>
      <c r="P1067" s="144">
        <v>4125000</v>
      </c>
      <c r="Q1067" s="144">
        <v>0</v>
      </c>
      <c r="R1067" s="144">
        <v>0</v>
      </c>
      <c r="S1067" s="144">
        <f t="shared" si="391"/>
        <v>4125000</v>
      </c>
      <c r="T1067" s="145">
        <f t="shared" si="368"/>
        <v>4464.7689143846737</v>
      </c>
      <c r="U1067" s="145">
        <v>6026.1611105097954</v>
      </c>
      <c r="DK1067" s="146"/>
      <c r="DL1067" s="146"/>
      <c r="DM1067" s="146"/>
      <c r="EA1067" s="147"/>
      <c r="EJ1067" s="148"/>
      <c r="FM1067" s="149"/>
      <c r="GC1067" s="150"/>
    </row>
    <row r="1068" spans="1:185" s="76" customFormat="1" ht="35.25" x14ac:dyDescent="0.25">
      <c r="A1068" s="76">
        <v>1</v>
      </c>
      <c r="B1068" s="138">
        <f>SUBTOTAL(103,$A$890:A1068)</f>
        <v>155</v>
      </c>
      <c r="C1068" s="139" t="s">
        <v>137</v>
      </c>
      <c r="D1068" s="140">
        <v>1976</v>
      </c>
      <c r="E1068" s="140"/>
      <c r="F1068" s="141" t="s">
        <v>295</v>
      </c>
      <c r="G1068" s="140">
        <v>5</v>
      </c>
      <c r="H1068" s="140">
        <v>6</v>
      </c>
      <c r="I1068" s="142">
        <v>6117.57</v>
      </c>
      <c r="J1068" s="142">
        <v>4610</v>
      </c>
      <c r="K1068" s="142">
        <v>4610</v>
      </c>
      <c r="L1068" s="143">
        <v>166</v>
      </c>
      <c r="M1068" s="140" t="s">
        <v>272</v>
      </c>
      <c r="N1068" s="140" t="s">
        <v>276</v>
      </c>
      <c r="O1068" s="140" t="s">
        <v>293</v>
      </c>
      <c r="P1068" s="144">
        <v>5090360</v>
      </c>
      <c r="Q1068" s="144">
        <v>0</v>
      </c>
      <c r="R1068" s="144">
        <v>0</v>
      </c>
      <c r="S1068" s="144">
        <f t="shared" si="391"/>
        <v>5090360</v>
      </c>
      <c r="T1068" s="145">
        <f t="shared" si="368"/>
        <v>832.08855803856761</v>
      </c>
      <c r="U1068" s="145">
        <v>1276.2290636641674</v>
      </c>
      <c r="DK1068" s="146"/>
      <c r="DL1068" s="146"/>
      <c r="DM1068" s="146"/>
      <c r="EA1068" s="147"/>
      <c r="EJ1068" s="148"/>
      <c r="FM1068" s="149"/>
      <c r="GC1068" s="150"/>
    </row>
    <row r="1069" spans="1:185" s="76" customFormat="1" ht="35.25" x14ac:dyDescent="0.25">
      <c r="A1069" s="76">
        <v>1</v>
      </c>
      <c r="B1069" s="138">
        <f>SUBTOTAL(103,$A$890:A1069)</f>
        <v>156</v>
      </c>
      <c r="C1069" s="139" t="s">
        <v>134</v>
      </c>
      <c r="D1069" s="140">
        <v>1972</v>
      </c>
      <c r="E1069" s="140"/>
      <c r="F1069" s="141" t="s">
        <v>274</v>
      </c>
      <c r="G1069" s="140">
        <v>5</v>
      </c>
      <c r="H1069" s="140">
        <v>4</v>
      </c>
      <c r="I1069" s="142">
        <v>3740.78</v>
      </c>
      <c r="J1069" s="142">
        <v>2819.9</v>
      </c>
      <c r="K1069" s="142">
        <v>2819.7</v>
      </c>
      <c r="L1069" s="143">
        <v>124</v>
      </c>
      <c r="M1069" s="140" t="s">
        <v>272</v>
      </c>
      <c r="N1069" s="140" t="s">
        <v>276</v>
      </c>
      <c r="O1069" s="140" t="s">
        <v>293</v>
      </c>
      <c r="P1069" s="144">
        <v>5035000</v>
      </c>
      <c r="Q1069" s="144">
        <v>0</v>
      </c>
      <c r="R1069" s="144">
        <v>0</v>
      </c>
      <c r="S1069" s="144">
        <f t="shared" si="391"/>
        <v>5035000</v>
      </c>
      <c r="T1069" s="145">
        <f t="shared" si="368"/>
        <v>1345.9759729254326</v>
      </c>
      <c r="U1069" s="145">
        <v>1816.6826143210772</v>
      </c>
      <c r="DK1069" s="146"/>
      <c r="DL1069" s="146"/>
      <c r="DM1069" s="146"/>
      <c r="EA1069" s="147"/>
      <c r="EJ1069" s="148"/>
      <c r="FM1069" s="149"/>
      <c r="GC1069" s="150"/>
    </row>
    <row r="1070" spans="1:185" s="76" customFormat="1" ht="35.25" x14ac:dyDescent="0.25">
      <c r="A1070" s="76">
        <v>1</v>
      </c>
      <c r="B1070" s="138">
        <f>SUBTOTAL(103,$A$890:A1070)</f>
        <v>157</v>
      </c>
      <c r="C1070" s="139" t="s">
        <v>135</v>
      </c>
      <c r="D1070" s="140">
        <v>1979</v>
      </c>
      <c r="E1070" s="140"/>
      <c r="F1070" s="141" t="s">
        <v>274</v>
      </c>
      <c r="G1070" s="140">
        <v>5</v>
      </c>
      <c r="H1070" s="140">
        <v>4</v>
      </c>
      <c r="I1070" s="142">
        <v>4025.6</v>
      </c>
      <c r="J1070" s="142">
        <v>3076</v>
      </c>
      <c r="K1070" s="142">
        <v>3076</v>
      </c>
      <c r="L1070" s="143">
        <v>133</v>
      </c>
      <c r="M1070" s="140" t="s">
        <v>272</v>
      </c>
      <c r="N1070" s="140" t="s">
        <v>276</v>
      </c>
      <c r="O1070" s="140" t="s">
        <v>293</v>
      </c>
      <c r="P1070" s="144">
        <v>3399440</v>
      </c>
      <c r="Q1070" s="144">
        <v>0</v>
      </c>
      <c r="R1070" s="144">
        <v>0</v>
      </c>
      <c r="S1070" s="144">
        <f t="shared" si="391"/>
        <v>3399440</v>
      </c>
      <c r="T1070" s="145">
        <f t="shared" si="368"/>
        <v>844.45548489666135</v>
      </c>
      <c r="U1070" s="145">
        <v>1295.1970344793324</v>
      </c>
      <c r="DK1070" s="146"/>
      <c r="DL1070" s="146"/>
      <c r="DM1070" s="146"/>
      <c r="EA1070" s="147"/>
      <c r="EJ1070" s="148"/>
      <c r="FM1070" s="149"/>
      <c r="GC1070" s="150"/>
    </row>
    <row r="1071" spans="1:185" s="67" customFormat="1" ht="61.5" x14ac:dyDescent="0.9">
      <c r="B1071" s="115" t="s">
        <v>889</v>
      </c>
      <c r="C1071" s="119"/>
      <c r="D1071" s="122" t="s">
        <v>943</v>
      </c>
      <c r="E1071" s="122" t="s">
        <v>943</v>
      </c>
      <c r="F1071" s="122" t="s">
        <v>943</v>
      </c>
      <c r="G1071" s="122" t="s">
        <v>943</v>
      </c>
      <c r="H1071" s="122" t="s">
        <v>943</v>
      </c>
      <c r="I1071" s="123">
        <f>SUM(I1072:I1073)</f>
        <v>1573</v>
      </c>
      <c r="J1071" s="123">
        <f t="shared" ref="J1071:L1071" si="392">SUM(J1072:J1073)</f>
        <v>1423.2</v>
      </c>
      <c r="K1071" s="123">
        <f t="shared" si="392"/>
        <v>1423.2</v>
      </c>
      <c r="L1071" s="124">
        <f t="shared" si="392"/>
        <v>68</v>
      </c>
      <c r="M1071" s="122" t="s">
        <v>943</v>
      </c>
      <c r="N1071" s="122" t="s">
        <v>943</v>
      </c>
      <c r="O1071" s="125" t="s">
        <v>943</v>
      </c>
      <c r="P1071" s="126">
        <v>5777967.8699999992</v>
      </c>
      <c r="Q1071" s="126">
        <f t="shared" ref="Q1071:S1071" si="393">Q1072+Q1073</f>
        <v>0</v>
      </c>
      <c r="R1071" s="126">
        <f t="shared" si="393"/>
        <v>0</v>
      </c>
      <c r="S1071" s="126">
        <f t="shared" si="393"/>
        <v>5777967.8699999992</v>
      </c>
      <c r="T1071" s="126">
        <f t="shared" si="368"/>
        <v>3673.2154291163379</v>
      </c>
      <c r="U1071" s="126">
        <f>MAX(U1072:U1073)</f>
        <v>5360.7087211194275</v>
      </c>
    </row>
    <row r="1072" spans="1:185" s="76" customFormat="1" ht="35.25" x14ac:dyDescent="0.25">
      <c r="A1072" s="76">
        <v>1</v>
      </c>
      <c r="B1072" s="138">
        <f>SUBTOTAL(103,$A$890:A1072)</f>
        <v>158</v>
      </c>
      <c r="C1072" s="139" t="s">
        <v>183</v>
      </c>
      <c r="D1072" s="140">
        <v>1985</v>
      </c>
      <c r="E1072" s="140">
        <v>2009</v>
      </c>
      <c r="F1072" s="141" t="s">
        <v>274</v>
      </c>
      <c r="G1072" s="140">
        <v>2</v>
      </c>
      <c r="H1072" s="140">
        <v>3</v>
      </c>
      <c r="I1072" s="142">
        <v>958.4</v>
      </c>
      <c r="J1072" s="142">
        <v>858.1</v>
      </c>
      <c r="K1072" s="142">
        <v>858.1</v>
      </c>
      <c r="L1072" s="143">
        <v>48</v>
      </c>
      <c r="M1072" s="140" t="s">
        <v>272</v>
      </c>
      <c r="N1072" s="140" t="s">
        <v>273</v>
      </c>
      <c r="O1072" s="140" t="s">
        <v>275</v>
      </c>
      <c r="P1072" s="144">
        <v>3457143.9</v>
      </c>
      <c r="Q1072" s="144">
        <v>0</v>
      </c>
      <c r="R1072" s="144">
        <v>0</v>
      </c>
      <c r="S1072" s="144">
        <f t="shared" ref="S1072:S1073" si="394">P1072-Q1072-R1072</f>
        <v>3457143.9</v>
      </c>
      <c r="T1072" s="145">
        <f t="shared" si="368"/>
        <v>3607.2035684474122</v>
      </c>
      <c r="U1072" s="145">
        <v>4436.1426335559263</v>
      </c>
      <c r="DK1072" s="146"/>
      <c r="DL1072" s="146"/>
      <c r="DM1072" s="146"/>
      <c r="EA1072" s="147"/>
      <c r="EJ1072" s="148"/>
      <c r="FM1072" s="149"/>
      <c r="GC1072" s="150"/>
    </row>
    <row r="1073" spans="1:185" s="76" customFormat="1" ht="35.25" x14ac:dyDescent="0.25">
      <c r="A1073" s="76">
        <v>1</v>
      </c>
      <c r="B1073" s="138">
        <f>SUBTOTAL(103,$A$890:A1073)</f>
        <v>159</v>
      </c>
      <c r="C1073" s="139" t="s">
        <v>184</v>
      </c>
      <c r="D1073" s="140">
        <v>1961</v>
      </c>
      <c r="E1073" s="140">
        <v>2009</v>
      </c>
      <c r="F1073" s="141" t="s">
        <v>274</v>
      </c>
      <c r="G1073" s="140">
        <v>2</v>
      </c>
      <c r="H1073" s="140">
        <v>2</v>
      </c>
      <c r="I1073" s="142">
        <v>614.6</v>
      </c>
      <c r="J1073" s="142">
        <v>565.1</v>
      </c>
      <c r="K1073" s="142">
        <v>565.1</v>
      </c>
      <c r="L1073" s="143">
        <v>20</v>
      </c>
      <c r="M1073" s="140" t="s">
        <v>272</v>
      </c>
      <c r="N1073" s="140" t="s">
        <v>273</v>
      </c>
      <c r="O1073" s="140" t="s">
        <v>275</v>
      </c>
      <c r="P1073" s="144">
        <v>2320823.9699999997</v>
      </c>
      <c r="Q1073" s="144">
        <v>0</v>
      </c>
      <c r="R1073" s="144">
        <v>0</v>
      </c>
      <c r="S1073" s="144">
        <f t="shared" si="394"/>
        <v>2320823.9699999997</v>
      </c>
      <c r="T1073" s="145">
        <f t="shared" si="368"/>
        <v>3776.153547022453</v>
      </c>
      <c r="U1073" s="145">
        <v>5360.7087211194275</v>
      </c>
      <c r="DK1073" s="146"/>
      <c r="DL1073" s="146"/>
      <c r="DM1073" s="146"/>
      <c r="EA1073" s="147"/>
      <c r="EJ1073" s="148"/>
      <c r="FM1073" s="149"/>
      <c r="GC1073" s="150"/>
    </row>
    <row r="1074" spans="1:185" s="67" customFormat="1" ht="61.5" x14ac:dyDescent="0.9">
      <c r="B1074" s="115" t="s">
        <v>886</v>
      </c>
      <c r="C1074" s="115"/>
      <c r="D1074" s="122" t="s">
        <v>943</v>
      </c>
      <c r="E1074" s="122" t="s">
        <v>943</v>
      </c>
      <c r="F1074" s="122" t="s">
        <v>943</v>
      </c>
      <c r="G1074" s="122" t="s">
        <v>943</v>
      </c>
      <c r="H1074" s="122" t="s">
        <v>943</v>
      </c>
      <c r="I1074" s="123">
        <f>SUM(I1075:I1077)</f>
        <v>1266.2</v>
      </c>
      <c r="J1074" s="123">
        <f t="shared" ref="J1074:L1074" si="395">SUM(J1075:J1077)</f>
        <v>1144.9000000000001</v>
      </c>
      <c r="K1074" s="123">
        <f t="shared" si="395"/>
        <v>922.5</v>
      </c>
      <c r="L1074" s="124">
        <f t="shared" si="395"/>
        <v>52</v>
      </c>
      <c r="M1074" s="122" t="s">
        <v>943</v>
      </c>
      <c r="N1074" s="122" t="s">
        <v>943</v>
      </c>
      <c r="O1074" s="125" t="s">
        <v>943</v>
      </c>
      <c r="P1074" s="126">
        <v>4715781.71</v>
      </c>
      <c r="Q1074" s="126">
        <f t="shared" ref="Q1074:S1074" si="396">Q1075+Q1076+Q1077</f>
        <v>0</v>
      </c>
      <c r="R1074" s="126">
        <f t="shared" si="396"/>
        <v>0</v>
      </c>
      <c r="S1074" s="126">
        <f t="shared" si="396"/>
        <v>4715781.71</v>
      </c>
      <c r="T1074" s="126">
        <f t="shared" si="368"/>
        <v>3724.3576923076921</v>
      </c>
      <c r="U1074" s="126">
        <f>MAX(U1075:U1077)</f>
        <v>5482.5372177055106</v>
      </c>
    </row>
    <row r="1075" spans="1:185" s="76" customFormat="1" ht="35.25" x14ac:dyDescent="0.25">
      <c r="A1075" s="76">
        <v>1</v>
      </c>
      <c r="B1075" s="138">
        <f>SUBTOTAL(103,$A$890:A1075)</f>
        <v>160</v>
      </c>
      <c r="C1075" s="139" t="s">
        <v>843</v>
      </c>
      <c r="D1075" s="140">
        <v>1961</v>
      </c>
      <c r="E1075" s="140"/>
      <c r="F1075" s="141" t="s">
        <v>274</v>
      </c>
      <c r="G1075" s="140">
        <v>2</v>
      </c>
      <c r="H1075" s="140">
        <v>1</v>
      </c>
      <c r="I1075" s="142">
        <v>442.8</v>
      </c>
      <c r="J1075" s="142">
        <v>393.5</v>
      </c>
      <c r="K1075" s="142">
        <v>240.4</v>
      </c>
      <c r="L1075" s="143">
        <v>21</v>
      </c>
      <c r="M1075" s="140" t="s">
        <v>272</v>
      </c>
      <c r="N1075" s="140" t="s">
        <v>347</v>
      </c>
      <c r="O1075" s="140" t="s">
        <v>348</v>
      </c>
      <c r="P1075" s="144">
        <v>1710080.82</v>
      </c>
      <c r="Q1075" s="144">
        <v>0</v>
      </c>
      <c r="R1075" s="144">
        <v>0</v>
      </c>
      <c r="S1075" s="144">
        <f t="shared" ref="S1075:S1077" si="397">P1075-Q1075-R1075</f>
        <v>1710080.82</v>
      </c>
      <c r="T1075" s="145">
        <f t="shared" si="368"/>
        <v>3861.9711382113824</v>
      </c>
      <c r="U1075" s="145">
        <v>5482.5372177055106</v>
      </c>
      <c r="DK1075" s="146"/>
      <c r="DL1075" s="146"/>
      <c r="DM1075" s="146"/>
      <c r="EA1075" s="147"/>
      <c r="EJ1075" s="148"/>
      <c r="FM1075" s="149"/>
      <c r="GC1075" s="150"/>
    </row>
    <row r="1076" spans="1:185" s="76" customFormat="1" ht="35.25" x14ac:dyDescent="0.25">
      <c r="A1076" s="76">
        <v>1</v>
      </c>
      <c r="B1076" s="138">
        <f>SUBTOTAL(103,$A$890:A1076)</f>
        <v>161</v>
      </c>
      <c r="C1076" s="139" t="s">
        <v>188</v>
      </c>
      <c r="D1076" s="140">
        <v>1960</v>
      </c>
      <c r="E1076" s="140"/>
      <c r="F1076" s="141" t="s">
        <v>274</v>
      </c>
      <c r="G1076" s="140">
        <v>2</v>
      </c>
      <c r="H1076" s="140">
        <v>1</v>
      </c>
      <c r="I1076" s="142">
        <v>442.6</v>
      </c>
      <c r="J1076" s="142">
        <v>400.2</v>
      </c>
      <c r="K1076" s="142">
        <v>353.8</v>
      </c>
      <c r="L1076" s="143">
        <v>12</v>
      </c>
      <c r="M1076" s="140" t="s">
        <v>272</v>
      </c>
      <c r="N1076" s="140" t="s">
        <v>347</v>
      </c>
      <c r="O1076" s="140" t="s">
        <v>348</v>
      </c>
      <c r="P1076" s="144">
        <v>1452729.9</v>
      </c>
      <c r="Q1076" s="144">
        <v>0</v>
      </c>
      <c r="R1076" s="144">
        <v>0</v>
      </c>
      <c r="S1076" s="144">
        <f t="shared" si="397"/>
        <v>1452729.9</v>
      </c>
      <c r="T1076" s="145">
        <f t="shared" si="368"/>
        <v>3282.2636692272927</v>
      </c>
      <c r="U1076" s="145">
        <v>3964.365567103479</v>
      </c>
      <c r="DK1076" s="146"/>
      <c r="DL1076" s="146"/>
      <c r="DM1076" s="146"/>
      <c r="EA1076" s="147"/>
      <c r="EJ1076" s="148"/>
      <c r="FM1076" s="149"/>
      <c r="GC1076" s="150"/>
    </row>
    <row r="1077" spans="1:185" s="76" customFormat="1" ht="35.25" x14ac:dyDescent="0.25">
      <c r="A1077" s="76">
        <v>1</v>
      </c>
      <c r="B1077" s="138">
        <f>SUBTOTAL(103,$A$890:A1077)</f>
        <v>162</v>
      </c>
      <c r="C1077" s="139" t="s">
        <v>185</v>
      </c>
      <c r="D1077" s="140">
        <v>1968</v>
      </c>
      <c r="E1077" s="140"/>
      <c r="F1077" s="141" t="s">
        <v>274</v>
      </c>
      <c r="G1077" s="140">
        <v>2</v>
      </c>
      <c r="H1077" s="140">
        <v>1</v>
      </c>
      <c r="I1077" s="142">
        <v>380.8</v>
      </c>
      <c r="J1077" s="142">
        <v>351.2</v>
      </c>
      <c r="K1077" s="142">
        <v>328.3</v>
      </c>
      <c r="L1077" s="143">
        <v>19</v>
      </c>
      <c r="M1077" s="140" t="s">
        <v>272</v>
      </c>
      <c r="N1077" s="140" t="s">
        <v>347</v>
      </c>
      <c r="O1077" s="140" t="s">
        <v>348</v>
      </c>
      <c r="P1077" s="144">
        <v>1552970.99</v>
      </c>
      <c r="Q1077" s="144">
        <v>0</v>
      </c>
      <c r="R1077" s="144">
        <v>0</v>
      </c>
      <c r="S1077" s="144">
        <f t="shared" si="397"/>
        <v>1552970.99</v>
      </c>
      <c r="T1077" s="145">
        <f t="shared" si="368"/>
        <v>4078.180120798319</v>
      </c>
      <c r="U1077" s="145">
        <v>5015.3500787815119</v>
      </c>
      <c r="DK1077" s="146"/>
      <c r="DL1077" s="146"/>
      <c r="DM1077" s="146"/>
      <c r="EA1077" s="147"/>
      <c r="EJ1077" s="148"/>
      <c r="FM1077" s="149"/>
      <c r="GC1077" s="150"/>
    </row>
    <row r="1078" spans="1:185" s="67" customFormat="1" ht="61.5" x14ac:dyDescent="0.9">
      <c r="B1078" s="115" t="s">
        <v>887</v>
      </c>
      <c r="C1078" s="115"/>
      <c r="D1078" s="122" t="s">
        <v>943</v>
      </c>
      <c r="E1078" s="122" t="s">
        <v>943</v>
      </c>
      <c r="F1078" s="122" t="s">
        <v>943</v>
      </c>
      <c r="G1078" s="122" t="s">
        <v>943</v>
      </c>
      <c r="H1078" s="122" t="s">
        <v>943</v>
      </c>
      <c r="I1078" s="123">
        <f>SUM(I1079:I1080)</f>
        <v>703.5</v>
      </c>
      <c r="J1078" s="123">
        <f t="shared" ref="J1078:L1078" si="398">SUM(J1079:J1080)</f>
        <v>641.4</v>
      </c>
      <c r="K1078" s="123">
        <f t="shared" si="398"/>
        <v>603.20000000000005</v>
      </c>
      <c r="L1078" s="124">
        <f t="shared" si="398"/>
        <v>36</v>
      </c>
      <c r="M1078" s="122" t="s">
        <v>943</v>
      </c>
      <c r="N1078" s="122" t="s">
        <v>943</v>
      </c>
      <c r="O1078" s="125" t="s">
        <v>943</v>
      </c>
      <c r="P1078" s="126">
        <v>2590114.16</v>
      </c>
      <c r="Q1078" s="126">
        <f t="shared" ref="Q1078:S1078" si="399">Q1079+Q1080</f>
        <v>0</v>
      </c>
      <c r="R1078" s="126">
        <f t="shared" si="399"/>
        <v>0</v>
      </c>
      <c r="S1078" s="126">
        <f t="shared" si="399"/>
        <v>2590114.16</v>
      </c>
      <c r="T1078" s="126">
        <f t="shared" si="368"/>
        <v>3681.7543141435681</v>
      </c>
      <c r="U1078" s="126">
        <f>MAX(U1079:U1080)</f>
        <v>4754.4510625909752</v>
      </c>
    </row>
    <row r="1079" spans="1:185" s="76" customFormat="1" ht="35.25" x14ac:dyDescent="0.25">
      <c r="A1079" s="76">
        <v>1</v>
      </c>
      <c r="B1079" s="138">
        <f>SUBTOTAL(103,$A$890:A1079)</f>
        <v>163</v>
      </c>
      <c r="C1079" s="139" t="s">
        <v>186</v>
      </c>
      <c r="D1079" s="140">
        <v>1959</v>
      </c>
      <c r="E1079" s="140"/>
      <c r="F1079" s="141" t="s">
        <v>340</v>
      </c>
      <c r="G1079" s="140">
        <v>2</v>
      </c>
      <c r="H1079" s="140">
        <v>1</v>
      </c>
      <c r="I1079" s="142">
        <v>360</v>
      </c>
      <c r="J1079" s="142">
        <v>325.89999999999998</v>
      </c>
      <c r="K1079" s="142">
        <v>287.7</v>
      </c>
      <c r="L1079" s="143">
        <v>15</v>
      </c>
      <c r="M1079" s="140" t="s">
        <v>272</v>
      </c>
      <c r="N1079" s="140" t="s">
        <v>347</v>
      </c>
      <c r="O1079" s="140" t="s">
        <v>349</v>
      </c>
      <c r="P1079" s="144">
        <v>1262131.9000000001</v>
      </c>
      <c r="Q1079" s="144">
        <v>0</v>
      </c>
      <c r="R1079" s="144">
        <v>0</v>
      </c>
      <c r="S1079" s="144">
        <f t="shared" ref="S1079:S1080" si="400">P1079-Q1079-R1079</f>
        <v>1262131.9000000001</v>
      </c>
      <c r="T1079" s="145">
        <f t="shared" si="368"/>
        <v>3505.9219444444448</v>
      </c>
      <c r="U1079" s="145">
        <v>4311.5863888888889</v>
      </c>
      <c r="DK1079" s="146"/>
      <c r="DL1079" s="146"/>
      <c r="DM1079" s="146"/>
      <c r="EA1079" s="147"/>
      <c r="EJ1079" s="148"/>
      <c r="FM1079" s="149"/>
      <c r="GC1079" s="150"/>
    </row>
    <row r="1080" spans="1:185" s="76" customFormat="1" ht="35.25" x14ac:dyDescent="0.25">
      <c r="A1080" s="76">
        <v>1</v>
      </c>
      <c r="B1080" s="138">
        <f>SUBTOTAL(103,$A$890:A1080)</f>
        <v>164</v>
      </c>
      <c r="C1080" s="139" t="s">
        <v>182</v>
      </c>
      <c r="D1080" s="140">
        <v>1970</v>
      </c>
      <c r="E1080" s="140"/>
      <c r="F1080" s="141" t="s">
        <v>274</v>
      </c>
      <c r="G1080" s="140">
        <v>2</v>
      </c>
      <c r="H1080" s="140">
        <v>1</v>
      </c>
      <c r="I1080" s="142">
        <v>343.5</v>
      </c>
      <c r="J1080" s="142">
        <v>315.5</v>
      </c>
      <c r="K1080" s="142">
        <v>315.5</v>
      </c>
      <c r="L1080" s="143">
        <v>21</v>
      </c>
      <c r="M1080" s="140" t="s">
        <v>272</v>
      </c>
      <c r="N1080" s="140" t="s">
        <v>347</v>
      </c>
      <c r="O1080" s="140" t="s">
        <v>349</v>
      </c>
      <c r="P1080" s="144">
        <v>1327982.26</v>
      </c>
      <c r="Q1080" s="144">
        <v>0</v>
      </c>
      <c r="R1080" s="144">
        <v>0</v>
      </c>
      <c r="S1080" s="144">
        <f t="shared" si="400"/>
        <v>1327982.26</v>
      </c>
      <c r="T1080" s="145">
        <f t="shared" si="368"/>
        <v>3866.0327802037846</v>
      </c>
      <c r="U1080" s="145">
        <v>4754.4510625909752</v>
      </c>
      <c r="DK1080" s="146"/>
      <c r="DL1080" s="146"/>
      <c r="DM1080" s="146"/>
      <c r="EA1080" s="147"/>
      <c r="EJ1080" s="148"/>
      <c r="FM1080" s="149"/>
      <c r="GC1080" s="150"/>
    </row>
    <row r="1081" spans="1:185" s="67" customFormat="1" ht="61.5" x14ac:dyDescent="0.9">
      <c r="B1081" s="115" t="s">
        <v>888</v>
      </c>
      <c r="C1081" s="115"/>
      <c r="D1081" s="122" t="s">
        <v>943</v>
      </c>
      <c r="E1081" s="122" t="s">
        <v>943</v>
      </c>
      <c r="F1081" s="122" t="s">
        <v>943</v>
      </c>
      <c r="G1081" s="122" t="s">
        <v>943</v>
      </c>
      <c r="H1081" s="122" t="s">
        <v>943</v>
      </c>
      <c r="I1081" s="123">
        <f>I1082</f>
        <v>1217.2</v>
      </c>
      <c r="J1081" s="123">
        <f t="shared" ref="J1081:L1081" si="401">J1082</f>
        <v>862.2</v>
      </c>
      <c r="K1081" s="123">
        <f t="shared" si="401"/>
        <v>862.2</v>
      </c>
      <c r="L1081" s="124">
        <f t="shared" si="401"/>
        <v>47</v>
      </c>
      <c r="M1081" s="122" t="s">
        <v>943</v>
      </c>
      <c r="N1081" s="122" t="s">
        <v>943</v>
      </c>
      <c r="O1081" s="125" t="s">
        <v>943</v>
      </c>
      <c r="P1081" s="126">
        <v>1456533.11</v>
      </c>
      <c r="Q1081" s="126">
        <f t="shared" ref="Q1081:S1081" si="402">Q1082</f>
        <v>0</v>
      </c>
      <c r="R1081" s="126">
        <f t="shared" si="402"/>
        <v>0</v>
      </c>
      <c r="S1081" s="126">
        <f t="shared" si="402"/>
        <v>1456533.11</v>
      </c>
      <c r="T1081" s="126">
        <f t="shared" si="368"/>
        <v>1196.6259530069012</v>
      </c>
      <c r="U1081" s="126">
        <f>MAX(U1082)</f>
        <v>1552.4150509365757</v>
      </c>
    </row>
    <row r="1082" spans="1:185" s="76" customFormat="1" ht="35.25" x14ac:dyDescent="0.25">
      <c r="A1082" s="76">
        <v>1</v>
      </c>
      <c r="B1082" s="138">
        <f>SUBTOTAL(103,$A$890:A1082)</f>
        <v>165</v>
      </c>
      <c r="C1082" s="139" t="s">
        <v>844</v>
      </c>
      <c r="D1082" s="140">
        <v>1980</v>
      </c>
      <c r="E1082" s="140"/>
      <c r="F1082" s="141" t="s">
        <v>274</v>
      </c>
      <c r="G1082" s="140">
        <v>2</v>
      </c>
      <c r="H1082" s="140">
        <v>3</v>
      </c>
      <c r="I1082" s="142">
        <v>1217.2</v>
      </c>
      <c r="J1082" s="142">
        <v>862.2</v>
      </c>
      <c r="K1082" s="142">
        <v>862.2</v>
      </c>
      <c r="L1082" s="143">
        <v>47</v>
      </c>
      <c r="M1082" s="140" t="s">
        <v>272</v>
      </c>
      <c r="N1082" s="140" t="s">
        <v>351</v>
      </c>
      <c r="O1082" s="140" t="s">
        <v>864</v>
      </c>
      <c r="P1082" s="144">
        <v>1456533.11</v>
      </c>
      <c r="Q1082" s="144">
        <v>0</v>
      </c>
      <c r="R1082" s="144">
        <v>0</v>
      </c>
      <c r="S1082" s="144">
        <f>P1082-Q1082-R1082</f>
        <v>1456533.11</v>
      </c>
      <c r="T1082" s="145">
        <f t="shared" si="368"/>
        <v>1196.6259530069012</v>
      </c>
      <c r="U1082" s="145">
        <v>1552.4150509365757</v>
      </c>
      <c r="DK1082" s="146"/>
      <c r="DL1082" s="146"/>
      <c r="DM1082" s="146"/>
      <c r="EA1082" s="147"/>
      <c r="EJ1082" s="148"/>
      <c r="FM1082" s="149"/>
      <c r="GC1082" s="150"/>
    </row>
    <row r="1083" spans="1:185" s="67" customFormat="1" ht="61.5" x14ac:dyDescent="0.9">
      <c r="B1083" s="115" t="s">
        <v>890</v>
      </c>
      <c r="C1083" s="119"/>
      <c r="D1083" s="122" t="s">
        <v>943</v>
      </c>
      <c r="E1083" s="122" t="s">
        <v>943</v>
      </c>
      <c r="F1083" s="122" t="s">
        <v>943</v>
      </c>
      <c r="G1083" s="122" t="s">
        <v>943</v>
      </c>
      <c r="H1083" s="122" t="s">
        <v>943</v>
      </c>
      <c r="I1083" s="123">
        <f>SUM(I1084:I1086)</f>
        <v>1774</v>
      </c>
      <c r="J1083" s="123">
        <f t="shared" ref="J1083:L1083" si="403">SUM(J1084:J1086)</f>
        <v>1611</v>
      </c>
      <c r="K1083" s="123">
        <f t="shared" si="403"/>
        <v>1526</v>
      </c>
      <c r="L1083" s="124">
        <f t="shared" si="403"/>
        <v>80</v>
      </c>
      <c r="M1083" s="122" t="s">
        <v>943</v>
      </c>
      <c r="N1083" s="122" t="s">
        <v>943</v>
      </c>
      <c r="O1083" s="125" t="s">
        <v>943</v>
      </c>
      <c r="P1083" s="126">
        <v>10290828.25</v>
      </c>
      <c r="Q1083" s="126">
        <f t="shared" ref="Q1083:S1083" si="404">Q1084+Q1085+Q1086</f>
        <v>0</v>
      </c>
      <c r="R1083" s="126">
        <f t="shared" si="404"/>
        <v>0</v>
      </c>
      <c r="S1083" s="126">
        <f t="shared" si="404"/>
        <v>10290828.25</v>
      </c>
      <c r="T1083" s="126">
        <f t="shared" si="368"/>
        <v>5800.9178410372042</v>
      </c>
      <c r="U1083" s="126">
        <f>MAX(U1084:U1086)</f>
        <v>10184.630628401781</v>
      </c>
    </row>
    <row r="1084" spans="1:185" s="76" customFormat="1" ht="35.25" x14ac:dyDescent="0.25">
      <c r="A1084" s="76">
        <v>1</v>
      </c>
      <c r="B1084" s="138">
        <f>SUBTOTAL(103,$A$890:A1084)</f>
        <v>166</v>
      </c>
      <c r="C1084" s="139" t="s">
        <v>87</v>
      </c>
      <c r="D1084" s="140">
        <v>1952</v>
      </c>
      <c r="E1084" s="140"/>
      <c r="F1084" s="141" t="s">
        <v>274</v>
      </c>
      <c r="G1084" s="140">
        <v>2</v>
      </c>
      <c r="H1084" s="140">
        <v>2</v>
      </c>
      <c r="I1084" s="142">
        <v>744</v>
      </c>
      <c r="J1084" s="142">
        <v>670</v>
      </c>
      <c r="K1084" s="142">
        <v>617</v>
      </c>
      <c r="L1084" s="143">
        <v>23</v>
      </c>
      <c r="M1084" s="140" t="s">
        <v>272</v>
      </c>
      <c r="N1084" s="140" t="s">
        <v>273</v>
      </c>
      <c r="O1084" s="140" t="s">
        <v>275</v>
      </c>
      <c r="P1084" s="144">
        <v>3665226.5</v>
      </c>
      <c r="Q1084" s="144">
        <v>0</v>
      </c>
      <c r="R1084" s="144">
        <v>0</v>
      </c>
      <c r="S1084" s="144">
        <f t="shared" ref="S1084:S1086" si="405">P1084-Q1084-R1084</f>
        <v>3665226.5</v>
      </c>
      <c r="T1084" s="145">
        <f t="shared" si="368"/>
        <v>4926.3797043010754</v>
      </c>
      <c r="U1084" s="145">
        <v>5895.9280913978491</v>
      </c>
      <c r="DK1084" s="146"/>
      <c r="DL1084" s="146"/>
      <c r="DM1084" s="146"/>
      <c r="EA1084" s="147"/>
      <c r="EJ1084" s="148"/>
      <c r="FM1084" s="149"/>
      <c r="GC1084" s="150"/>
    </row>
    <row r="1085" spans="1:185" s="76" customFormat="1" ht="35.25" x14ac:dyDescent="0.25">
      <c r="A1085" s="76">
        <v>1</v>
      </c>
      <c r="B1085" s="138">
        <f>SUBTOTAL(103,$A$890:A1085)</f>
        <v>167</v>
      </c>
      <c r="C1085" s="139" t="s">
        <v>88</v>
      </c>
      <c r="D1085" s="140">
        <v>1951</v>
      </c>
      <c r="E1085" s="140"/>
      <c r="F1085" s="141" t="s">
        <v>274</v>
      </c>
      <c r="G1085" s="140">
        <v>2</v>
      </c>
      <c r="H1085" s="140">
        <v>2</v>
      </c>
      <c r="I1085" s="142">
        <v>625.79999999999995</v>
      </c>
      <c r="J1085" s="142">
        <v>578</v>
      </c>
      <c r="K1085" s="142">
        <v>546</v>
      </c>
      <c r="L1085" s="143">
        <v>42</v>
      </c>
      <c r="M1085" s="140" t="s">
        <v>272</v>
      </c>
      <c r="N1085" s="140" t="s">
        <v>273</v>
      </c>
      <c r="O1085" s="140" t="s">
        <v>275</v>
      </c>
      <c r="P1085" s="144">
        <v>3185927.6500000004</v>
      </c>
      <c r="Q1085" s="144">
        <v>0</v>
      </c>
      <c r="R1085" s="144">
        <v>0</v>
      </c>
      <c r="S1085" s="144">
        <f t="shared" si="405"/>
        <v>3185927.6500000004</v>
      </c>
      <c r="T1085" s="145">
        <f t="shared" si="368"/>
        <v>5090.9678012144468</v>
      </c>
      <c r="U1085" s="145">
        <v>6092.9083573026528</v>
      </c>
      <c r="DK1085" s="146"/>
      <c r="DL1085" s="146"/>
      <c r="DM1085" s="146"/>
      <c r="EA1085" s="147"/>
      <c r="EJ1085" s="148"/>
      <c r="FM1085" s="149"/>
      <c r="GC1085" s="150"/>
    </row>
    <row r="1086" spans="1:185" s="76" customFormat="1" ht="35.25" x14ac:dyDescent="0.25">
      <c r="A1086" s="76">
        <v>1</v>
      </c>
      <c r="B1086" s="138">
        <f>SUBTOTAL(103,$A$890:A1086)</f>
        <v>168</v>
      </c>
      <c r="C1086" s="139" t="s">
        <v>86</v>
      </c>
      <c r="D1086" s="140">
        <v>1951</v>
      </c>
      <c r="E1086" s="140"/>
      <c r="F1086" s="141" t="s">
        <v>274</v>
      </c>
      <c r="G1086" s="140">
        <v>2</v>
      </c>
      <c r="H1086" s="140">
        <v>2</v>
      </c>
      <c r="I1086" s="142">
        <v>404.2</v>
      </c>
      <c r="J1086" s="142">
        <v>363</v>
      </c>
      <c r="K1086" s="142">
        <v>363</v>
      </c>
      <c r="L1086" s="143">
        <v>15</v>
      </c>
      <c r="M1086" s="140" t="s">
        <v>272</v>
      </c>
      <c r="N1086" s="140" t="s">
        <v>273</v>
      </c>
      <c r="O1086" s="140" t="s">
        <v>275</v>
      </c>
      <c r="P1086" s="144">
        <v>3439674.1</v>
      </c>
      <c r="Q1086" s="144">
        <v>0</v>
      </c>
      <c r="R1086" s="144">
        <v>0</v>
      </c>
      <c r="S1086" s="144">
        <f t="shared" si="405"/>
        <v>3439674.1</v>
      </c>
      <c r="T1086" s="145">
        <f t="shared" si="368"/>
        <v>8509.8320138545278</v>
      </c>
      <c r="U1086" s="145">
        <v>10184.630628401781</v>
      </c>
      <c r="DK1086" s="146"/>
      <c r="DL1086" s="146"/>
      <c r="DM1086" s="146"/>
      <c r="EA1086" s="147"/>
      <c r="EJ1086" s="148"/>
      <c r="FM1086" s="149"/>
      <c r="GC1086" s="150"/>
    </row>
    <row r="1087" spans="1:185" s="67" customFormat="1" ht="61.5" x14ac:dyDescent="0.9">
      <c r="B1087" s="115" t="s">
        <v>891</v>
      </c>
      <c r="C1087" s="115"/>
      <c r="D1087" s="122" t="s">
        <v>943</v>
      </c>
      <c r="E1087" s="122" t="s">
        <v>943</v>
      </c>
      <c r="F1087" s="122" t="s">
        <v>943</v>
      </c>
      <c r="G1087" s="122" t="s">
        <v>943</v>
      </c>
      <c r="H1087" s="122" t="s">
        <v>943</v>
      </c>
      <c r="I1087" s="123">
        <f>I1088</f>
        <v>609</v>
      </c>
      <c r="J1087" s="123">
        <f t="shared" ref="J1087:L1087" si="406">J1088</f>
        <v>609</v>
      </c>
      <c r="K1087" s="123">
        <f t="shared" si="406"/>
        <v>579</v>
      </c>
      <c r="L1087" s="124">
        <f t="shared" si="406"/>
        <v>31</v>
      </c>
      <c r="M1087" s="122" t="s">
        <v>943</v>
      </c>
      <c r="N1087" s="122" t="s">
        <v>943</v>
      </c>
      <c r="O1087" s="125" t="s">
        <v>943</v>
      </c>
      <c r="P1087" s="126">
        <v>3013803.8600000003</v>
      </c>
      <c r="Q1087" s="126">
        <f t="shared" ref="Q1087:S1087" si="407">Q1088</f>
        <v>0</v>
      </c>
      <c r="R1087" s="126">
        <f t="shared" si="407"/>
        <v>0</v>
      </c>
      <c r="S1087" s="126">
        <f t="shared" si="407"/>
        <v>3013803.8600000003</v>
      </c>
      <c r="T1087" s="126">
        <f t="shared" si="368"/>
        <v>4948.7748111658466</v>
      </c>
      <c r="U1087" s="126">
        <f>MAX(U1088)</f>
        <v>6493.69789819376</v>
      </c>
    </row>
    <row r="1088" spans="1:185" s="76" customFormat="1" ht="35.25" x14ac:dyDescent="0.25">
      <c r="A1088" s="76">
        <v>1</v>
      </c>
      <c r="B1088" s="138">
        <f>SUBTOTAL(103,$A$890:A1088)</f>
        <v>169</v>
      </c>
      <c r="C1088" s="139" t="s">
        <v>90</v>
      </c>
      <c r="D1088" s="140">
        <v>1967</v>
      </c>
      <c r="E1088" s="140"/>
      <c r="F1088" s="141" t="s">
        <v>274</v>
      </c>
      <c r="G1088" s="140">
        <v>2</v>
      </c>
      <c r="H1088" s="140">
        <v>2</v>
      </c>
      <c r="I1088" s="142">
        <v>609</v>
      </c>
      <c r="J1088" s="142">
        <v>609</v>
      </c>
      <c r="K1088" s="142">
        <v>579</v>
      </c>
      <c r="L1088" s="143">
        <v>31</v>
      </c>
      <c r="M1088" s="140" t="s">
        <v>272</v>
      </c>
      <c r="N1088" s="140" t="s">
        <v>273</v>
      </c>
      <c r="O1088" s="140" t="s">
        <v>275</v>
      </c>
      <c r="P1088" s="144">
        <v>3013803.8600000003</v>
      </c>
      <c r="Q1088" s="144">
        <v>0</v>
      </c>
      <c r="R1088" s="144">
        <v>0</v>
      </c>
      <c r="S1088" s="144">
        <f>P1088-Q1088-R1088</f>
        <v>3013803.8600000003</v>
      </c>
      <c r="T1088" s="145">
        <f t="shared" si="368"/>
        <v>4948.7748111658466</v>
      </c>
      <c r="U1088" s="145">
        <v>6493.69789819376</v>
      </c>
      <c r="DK1088" s="146"/>
      <c r="DL1088" s="146"/>
      <c r="DM1088" s="146"/>
      <c r="EA1088" s="147"/>
      <c r="EJ1088" s="148"/>
      <c r="FM1088" s="149"/>
      <c r="GC1088" s="150"/>
    </row>
    <row r="1089" spans="1:185" s="67" customFormat="1" ht="61.5" x14ac:dyDescent="0.9">
      <c r="B1089" s="115" t="s">
        <v>941</v>
      </c>
      <c r="C1089" s="115"/>
      <c r="D1089" s="122" t="s">
        <v>943</v>
      </c>
      <c r="E1089" s="122" t="s">
        <v>943</v>
      </c>
      <c r="F1089" s="122" t="s">
        <v>943</v>
      </c>
      <c r="G1089" s="122" t="s">
        <v>943</v>
      </c>
      <c r="H1089" s="122" t="s">
        <v>943</v>
      </c>
      <c r="I1089" s="123">
        <f>I1090</f>
        <v>616.20000000000005</v>
      </c>
      <c r="J1089" s="123">
        <f t="shared" ref="J1089:L1089" si="408">J1090</f>
        <v>315</v>
      </c>
      <c r="K1089" s="123">
        <f t="shared" si="408"/>
        <v>315</v>
      </c>
      <c r="L1089" s="124">
        <f t="shared" si="408"/>
        <v>21</v>
      </c>
      <c r="M1089" s="122" t="s">
        <v>943</v>
      </c>
      <c r="N1089" s="122" t="s">
        <v>943</v>
      </c>
      <c r="O1089" s="125" t="s">
        <v>943</v>
      </c>
      <c r="P1089" s="126">
        <v>2036502</v>
      </c>
      <c r="Q1089" s="126">
        <f t="shared" ref="Q1089:S1089" si="409">Q1090</f>
        <v>0</v>
      </c>
      <c r="R1089" s="126">
        <f t="shared" si="409"/>
        <v>0</v>
      </c>
      <c r="S1089" s="126">
        <f t="shared" si="409"/>
        <v>2036502</v>
      </c>
      <c r="T1089" s="126">
        <f t="shared" si="368"/>
        <v>3304.9367088607592</v>
      </c>
      <c r="U1089" s="126">
        <f>MAX(U1090)</f>
        <v>4271.2468354430375</v>
      </c>
    </row>
    <row r="1090" spans="1:185" s="76" customFormat="1" ht="35.25" x14ac:dyDescent="0.25">
      <c r="A1090" s="76">
        <v>1</v>
      </c>
      <c r="B1090" s="138">
        <f>SUBTOTAL(103,$A$890:A1090)</f>
        <v>170</v>
      </c>
      <c r="C1090" s="139" t="s">
        <v>89</v>
      </c>
      <c r="D1090" s="140">
        <v>1982</v>
      </c>
      <c r="E1090" s="140"/>
      <c r="F1090" s="141" t="s">
        <v>274</v>
      </c>
      <c r="G1090" s="140">
        <v>2</v>
      </c>
      <c r="H1090" s="140">
        <v>2</v>
      </c>
      <c r="I1090" s="142">
        <v>616.20000000000005</v>
      </c>
      <c r="J1090" s="142">
        <v>315</v>
      </c>
      <c r="K1090" s="142">
        <v>315</v>
      </c>
      <c r="L1090" s="143">
        <v>21</v>
      </c>
      <c r="M1090" s="140" t="s">
        <v>272</v>
      </c>
      <c r="N1090" s="140" t="s">
        <v>273</v>
      </c>
      <c r="O1090" s="140" t="s">
        <v>275</v>
      </c>
      <c r="P1090" s="144">
        <v>2036502</v>
      </c>
      <c r="Q1090" s="144">
        <v>0</v>
      </c>
      <c r="R1090" s="144">
        <v>0</v>
      </c>
      <c r="S1090" s="144">
        <f>P1090-Q1090-R1090</f>
        <v>2036502</v>
      </c>
      <c r="T1090" s="145">
        <f t="shared" si="368"/>
        <v>3304.9367088607592</v>
      </c>
      <c r="U1090" s="145">
        <v>4271.2468354430375</v>
      </c>
      <c r="DK1090" s="146"/>
      <c r="DL1090" s="146"/>
      <c r="DM1090" s="146"/>
      <c r="EA1090" s="147"/>
      <c r="EJ1090" s="148"/>
      <c r="FM1090" s="149"/>
      <c r="GC1090" s="150"/>
    </row>
    <row r="1091" spans="1:185" s="67" customFormat="1" ht="61.5" x14ac:dyDescent="0.9">
      <c r="B1091" s="115" t="s">
        <v>892</v>
      </c>
      <c r="C1091" s="119"/>
      <c r="D1091" s="122" t="s">
        <v>943</v>
      </c>
      <c r="E1091" s="122" t="s">
        <v>943</v>
      </c>
      <c r="F1091" s="122" t="s">
        <v>943</v>
      </c>
      <c r="G1091" s="122" t="s">
        <v>943</v>
      </c>
      <c r="H1091" s="122" t="s">
        <v>943</v>
      </c>
      <c r="I1091" s="123">
        <f>I1092</f>
        <v>772.9</v>
      </c>
      <c r="J1091" s="123">
        <f t="shared" ref="J1091:L1091" si="410">J1092</f>
        <v>728.9</v>
      </c>
      <c r="K1091" s="123">
        <f t="shared" si="410"/>
        <v>650.20000000000005</v>
      </c>
      <c r="L1091" s="124">
        <f t="shared" si="410"/>
        <v>32</v>
      </c>
      <c r="M1091" s="122" t="s">
        <v>943</v>
      </c>
      <c r="N1091" s="122" t="s">
        <v>943</v>
      </c>
      <c r="O1091" s="125" t="s">
        <v>943</v>
      </c>
      <c r="P1091" s="126">
        <v>3592598.4</v>
      </c>
      <c r="Q1091" s="126">
        <f t="shared" ref="Q1091:S1091" si="411">Q1092</f>
        <v>0</v>
      </c>
      <c r="R1091" s="126">
        <f t="shared" si="411"/>
        <v>0</v>
      </c>
      <c r="S1091" s="126">
        <f t="shared" si="411"/>
        <v>3592598.4</v>
      </c>
      <c r="T1091" s="126">
        <f t="shared" si="368"/>
        <v>4648.2059774873851</v>
      </c>
      <c r="U1091" s="126">
        <f>MAX(U1092)</f>
        <v>6007.2663475223189</v>
      </c>
    </row>
    <row r="1092" spans="1:185" s="76" customFormat="1" ht="35.25" x14ac:dyDescent="0.25">
      <c r="A1092" s="76">
        <v>1</v>
      </c>
      <c r="B1092" s="138">
        <f>SUBTOTAL(103,$A$890:A1092)</f>
        <v>171</v>
      </c>
      <c r="C1092" s="139" t="s">
        <v>110</v>
      </c>
      <c r="D1092" s="140">
        <v>1971</v>
      </c>
      <c r="E1092" s="140"/>
      <c r="F1092" s="141" t="s">
        <v>274</v>
      </c>
      <c r="G1092" s="140">
        <v>2</v>
      </c>
      <c r="H1092" s="140">
        <v>2</v>
      </c>
      <c r="I1092" s="142">
        <v>772.9</v>
      </c>
      <c r="J1092" s="142">
        <v>728.9</v>
      </c>
      <c r="K1092" s="142">
        <v>650.20000000000005</v>
      </c>
      <c r="L1092" s="143">
        <v>32</v>
      </c>
      <c r="M1092" s="140" t="s">
        <v>272</v>
      </c>
      <c r="N1092" s="140" t="s">
        <v>273</v>
      </c>
      <c r="O1092" s="140" t="s">
        <v>275</v>
      </c>
      <c r="P1092" s="144">
        <v>3592598.4</v>
      </c>
      <c r="Q1092" s="144">
        <v>0</v>
      </c>
      <c r="R1092" s="144">
        <v>0</v>
      </c>
      <c r="S1092" s="144">
        <f>P1092-Q1092-R1092</f>
        <v>3592598.4</v>
      </c>
      <c r="T1092" s="145">
        <f t="shared" si="368"/>
        <v>4648.2059774873851</v>
      </c>
      <c r="U1092" s="145">
        <v>6007.2663475223189</v>
      </c>
      <c r="DK1092" s="146"/>
      <c r="DL1092" s="146"/>
      <c r="DM1092" s="146"/>
      <c r="EA1092" s="147"/>
      <c r="EJ1092" s="148"/>
      <c r="FM1092" s="149"/>
      <c r="GC1092" s="150"/>
    </row>
    <row r="1093" spans="1:185" s="67" customFormat="1" ht="61.5" x14ac:dyDescent="0.9">
      <c r="B1093" s="115" t="s">
        <v>927</v>
      </c>
      <c r="C1093" s="115"/>
      <c r="D1093" s="122" t="s">
        <v>943</v>
      </c>
      <c r="E1093" s="122" t="s">
        <v>943</v>
      </c>
      <c r="F1093" s="122" t="s">
        <v>943</v>
      </c>
      <c r="G1093" s="122" t="s">
        <v>943</v>
      </c>
      <c r="H1093" s="122" t="s">
        <v>943</v>
      </c>
      <c r="I1093" s="123">
        <f>I1094</f>
        <v>976.3</v>
      </c>
      <c r="J1093" s="123">
        <f t="shared" ref="J1093:L1093" si="412">J1094</f>
        <v>880.1</v>
      </c>
      <c r="K1093" s="123">
        <f t="shared" si="412"/>
        <v>880.1</v>
      </c>
      <c r="L1093" s="124">
        <f t="shared" si="412"/>
        <v>36</v>
      </c>
      <c r="M1093" s="122" t="s">
        <v>943</v>
      </c>
      <c r="N1093" s="122" t="s">
        <v>943</v>
      </c>
      <c r="O1093" s="125" t="s">
        <v>943</v>
      </c>
      <c r="P1093" s="126">
        <v>4454195.3999999994</v>
      </c>
      <c r="Q1093" s="126">
        <f t="shared" ref="Q1093:S1093" si="413">Q1094</f>
        <v>0</v>
      </c>
      <c r="R1093" s="126">
        <f t="shared" si="413"/>
        <v>0</v>
      </c>
      <c r="S1093" s="126">
        <f t="shared" si="413"/>
        <v>4454195.3999999994</v>
      </c>
      <c r="T1093" s="126">
        <f t="shared" si="368"/>
        <v>4562.3224418723748</v>
      </c>
      <c r="U1093" s="126">
        <f>MAX(U1094)</f>
        <v>5896.2718529140639</v>
      </c>
    </row>
    <row r="1094" spans="1:185" s="76" customFormat="1" ht="35.25" x14ac:dyDescent="0.25">
      <c r="A1094" s="76">
        <v>1</v>
      </c>
      <c r="B1094" s="138">
        <f>SUBTOTAL(103,$A$890:A1094)</f>
        <v>172</v>
      </c>
      <c r="C1094" s="139" t="s">
        <v>112</v>
      </c>
      <c r="D1094" s="140">
        <v>1987</v>
      </c>
      <c r="E1094" s="140"/>
      <c r="F1094" s="141" t="s">
        <v>274</v>
      </c>
      <c r="G1094" s="140">
        <v>2</v>
      </c>
      <c r="H1094" s="140">
        <v>3</v>
      </c>
      <c r="I1094" s="142">
        <v>976.3</v>
      </c>
      <c r="J1094" s="142">
        <v>880.1</v>
      </c>
      <c r="K1094" s="142">
        <v>880.1</v>
      </c>
      <c r="L1094" s="143">
        <v>36</v>
      </c>
      <c r="M1094" s="140" t="s">
        <v>272</v>
      </c>
      <c r="N1094" s="140" t="s">
        <v>273</v>
      </c>
      <c r="O1094" s="140" t="s">
        <v>275</v>
      </c>
      <c r="P1094" s="144">
        <v>4454195.3999999994</v>
      </c>
      <c r="Q1094" s="144">
        <v>0</v>
      </c>
      <c r="R1094" s="144">
        <v>0</v>
      </c>
      <c r="S1094" s="144">
        <f>P1094-Q1094-R1094</f>
        <v>4454195.3999999994</v>
      </c>
      <c r="T1094" s="145">
        <f t="shared" si="368"/>
        <v>4562.3224418723748</v>
      </c>
      <c r="U1094" s="145">
        <v>5896.2718529140639</v>
      </c>
      <c r="DK1094" s="146"/>
      <c r="DL1094" s="146"/>
      <c r="DM1094" s="146"/>
      <c r="EA1094" s="147"/>
      <c r="EJ1094" s="148"/>
      <c r="FM1094" s="149"/>
      <c r="GC1094" s="150"/>
    </row>
    <row r="1095" spans="1:185" s="67" customFormat="1" ht="61.5" x14ac:dyDescent="0.9">
      <c r="B1095" s="115" t="s">
        <v>942</v>
      </c>
      <c r="C1095" s="119"/>
      <c r="D1095" s="122" t="s">
        <v>943</v>
      </c>
      <c r="E1095" s="122" t="s">
        <v>943</v>
      </c>
      <c r="F1095" s="122" t="s">
        <v>943</v>
      </c>
      <c r="G1095" s="122" t="s">
        <v>943</v>
      </c>
      <c r="H1095" s="122" t="s">
        <v>943</v>
      </c>
      <c r="I1095" s="123">
        <f>I1096</f>
        <v>781.7</v>
      </c>
      <c r="J1095" s="123">
        <f t="shared" ref="J1095:L1095" si="414">J1096</f>
        <v>722.5</v>
      </c>
      <c r="K1095" s="123">
        <f t="shared" si="414"/>
        <v>505.6</v>
      </c>
      <c r="L1095" s="124">
        <f t="shared" si="414"/>
        <v>25</v>
      </c>
      <c r="M1095" s="122" t="s">
        <v>943</v>
      </c>
      <c r="N1095" s="122" t="s">
        <v>943</v>
      </c>
      <c r="O1095" s="125" t="s">
        <v>943</v>
      </c>
      <c r="P1095" s="126">
        <v>4839701.7600000007</v>
      </c>
      <c r="Q1095" s="126">
        <f t="shared" ref="Q1095:S1095" si="415">Q1096</f>
        <v>0</v>
      </c>
      <c r="R1095" s="126">
        <f t="shared" si="415"/>
        <v>0</v>
      </c>
      <c r="S1095" s="126">
        <f t="shared" si="415"/>
        <v>4839701.7600000007</v>
      </c>
      <c r="T1095" s="126">
        <f t="shared" si="368"/>
        <v>6191.2520915952418</v>
      </c>
      <c r="U1095" s="126">
        <f>MAX(U1096)</f>
        <v>8001.5058629909172</v>
      </c>
    </row>
    <row r="1096" spans="1:185" s="76" customFormat="1" ht="35.25" x14ac:dyDescent="0.25">
      <c r="A1096" s="76">
        <v>1</v>
      </c>
      <c r="B1096" s="138">
        <f>SUBTOTAL(103,$A$890:A1096)</f>
        <v>173</v>
      </c>
      <c r="C1096" s="139" t="s">
        <v>216</v>
      </c>
      <c r="D1096" s="140">
        <v>1968</v>
      </c>
      <c r="E1096" s="140"/>
      <c r="F1096" s="141" t="s">
        <v>274</v>
      </c>
      <c r="G1096" s="140">
        <v>2</v>
      </c>
      <c r="H1096" s="140">
        <v>2</v>
      </c>
      <c r="I1096" s="142">
        <v>781.7</v>
      </c>
      <c r="J1096" s="142">
        <v>722.5</v>
      </c>
      <c r="K1096" s="142">
        <v>505.6</v>
      </c>
      <c r="L1096" s="143">
        <v>25</v>
      </c>
      <c r="M1096" s="140" t="s">
        <v>272</v>
      </c>
      <c r="N1096" s="140" t="s">
        <v>276</v>
      </c>
      <c r="O1096" s="140" t="s">
        <v>341</v>
      </c>
      <c r="P1096" s="144">
        <v>4839701.7600000007</v>
      </c>
      <c r="Q1096" s="144">
        <v>0</v>
      </c>
      <c r="R1096" s="144">
        <v>0</v>
      </c>
      <c r="S1096" s="144">
        <f>P1096-Q1096-R1096</f>
        <v>4839701.7600000007</v>
      </c>
      <c r="T1096" s="145">
        <f t="shared" si="368"/>
        <v>6191.2520915952418</v>
      </c>
      <c r="U1096" s="145">
        <v>8001.5058629909172</v>
      </c>
      <c r="DK1096" s="146"/>
      <c r="DL1096" s="146"/>
      <c r="DM1096" s="146"/>
      <c r="EA1096" s="147"/>
      <c r="EJ1096" s="148"/>
      <c r="FM1096" s="149"/>
      <c r="GC1096" s="150"/>
    </row>
    <row r="1097" spans="1:185" s="67" customFormat="1" ht="61.5" x14ac:dyDescent="0.9">
      <c r="B1097" s="115" t="s">
        <v>893</v>
      </c>
      <c r="C1097" s="119"/>
      <c r="D1097" s="122" t="s">
        <v>943</v>
      </c>
      <c r="E1097" s="122" t="s">
        <v>943</v>
      </c>
      <c r="F1097" s="122" t="s">
        <v>943</v>
      </c>
      <c r="G1097" s="122" t="s">
        <v>943</v>
      </c>
      <c r="H1097" s="122" t="s">
        <v>943</v>
      </c>
      <c r="I1097" s="123">
        <f>I1098</f>
        <v>736.7</v>
      </c>
      <c r="J1097" s="123">
        <f t="shared" ref="J1097:L1097" si="416">J1098</f>
        <v>736.7</v>
      </c>
      <c r="K1097" s="123">
        <f t="shared" si="416"/>
        <v>450.8</v>
      </c>
      <c r="L1097" s="124">
        <f t="shared" si="416"/>
        <v>42</v>
      </c>
      <c r="M1097" s="122" t="s">
        <v>943</v>
      </c>
      <c r="N1097" s="122" t="s">
        <v>943</v>
      </c>
      <c r="O1097" s="125" t="s">
        <v>943</v>
      </c>
      <c r="P1097" s="126">
        <v>3231458.3</v>
      </c>
      <c r="Q1097" s="126">
        <f t="shared" ref="Q1097:S1097" si="417">Q1098</f>
        <v>0</v>
      </c>
      <c r="R1097" s="126">
        <f t="shared" si="417"/>
        <v>1851570.68</v>
      </c>
      <c r="S1097" s="126">
        <f t="shared" si="417"/>
        <v>1379887.6199999999</v>
      </c>
      <c r="T1097" s="126">
        <f t="shared" si="368"/>
        <v>4386.3964978960221</v>
      </c>
      <c r="U1097" s="126">
        <f>MAX(U1098)</f>
        <v>6144.8903977195587</v>
      </c>
    </row>
    <row r="1098" spans="1:185" s="76" customFormat="1" ht="35.25" x14ac:dyDescent="0.25">
      <c r="A1098" s="76">
        <v>1</v>
      </c>
      <c r="B1098" s="138">
        <f>SUBTOTAL(103,$A$890:A1098)</f>
        <v>174</v>
      </c>
      <c r="C1098" s="139" t="s">
        <v>67</v>
      </c>
      <c r="D1098" s="140">
        <v>1978</v>
      </c>
      <c r="E1098" s="140"/>
      <c r="F1098" s="141" t="s">
        <v>274</v>
      </c>
      <c r="G1098" s="140">
        <v>2</v>
      </c>
      <c r="H1098" s="140">
        <v>2</v>
      </c>
      <c r="I1098" s="142">
        <v>736.7</v>
      </c>
      <c r="J1098" s="142">
        <v>736.7</v>
      </c>
      <c r="K1098" s="142">
        <v>450.8</v>
      </c>
      <c r="L1098" s="143">
        <v>42</v>
      </c>
      <c r="M1098" s="140" t="s">
        <v>272</v>
      </c>
      <c r="N1098" s="140" t="s">
        <v>273</v>
      </c>
      <c r="O1098" s="140" t="s">
        <v>275</v>
      </c>
      <c r="P1098" s="144">
        <v>3231458.3</v>
      </c>
      <c r="Q1098" s="144">
        <v>0</v>
      </c>
      <c r="R1098" s="144">
        <v>1851570.68</v>
      </c>
      <c r="S1098" s="144">
        <f>P1098-Q1098-R1098</f>
        <v>1379887.6199999999</v>
      </c>
      <c r="T1098" s="145">
        <f t="shared" si="368"/>
        <v>4386.3964978960221</v>
      </c>
      <c r="U1098" s="145">
        <v>6144.8903977195587</v>
      </c>
      <c r="DK1098" s="146"/>
      <c r="DL1098" s="146"/>
      <c r="DM1098" s="146"/>
      <c r="EA1098" s="147"/>
      <c r="EJ1098" s="148"/>
      <c r="FM1098" s="149"/>
      <c r="GC1098" s="150"/>
    </row>
    <row r="1099" spans="1:185" s="67" customFormat="1" ht="61.5" x14ac:dyDescent="0.9">
      <c r="B1099" s="115" t="s">
        <v>895</v>
      </c>
      <c r="C1099" s="115"/>
      <c r="D1099" s="122" t="s">
        <v>943</v>
      </c>
      <c r="E1099" s="122" t="s">
        <v>943</v>
      </c>
      <c r="F1099" s="122" t="s">
        <v>943</v>
      </c>
      <c r="G1099" s="122" t="s">
        <v>943</v>
      </c>
      <c r="H1099" s="122" t="s">
        <v>943</v>
      </c>
      <c r="I1099" s="123">
        <f>SUM(I1100:I1102)</f>
        <v>9352.4</v>
      </c>
      <c r="J1099" s="123">
        <f t="shared" ref="J1099:L1099" si="418">SUM(J1100:J1102)</f>
        <v>9253</v>
      </c>
      <c r="K1099" s="123">
        <f t="shared" si="418"/>
        <v>9002.2999999999993</v>
      </c>
      <c r="L1099" s="124">
        <f t="shared" si="418"/>
        <v>371</v>
      </c>
      <c r="M1099" s="122" t="s">
        <v>943</v>
      </c>
      <c r="N1099" s="122" t="s">
        <v>943</v>
      </c>
      <c r="O1099" s="125" t="s">
        <v>943</v>
      </c>
      <c r="P1099" s="126">
        <v>16849360.93</v>
      </c>
      <c r="Q1099" s="126">
        <f t="shared" ref="Q1099:S1099" si="419">Q1100+Q1101+Q1102</f>
        <v>0</v>
      </c>
      <c r="R1099" s="126">
        <f t="shared" si="419"/>
        <v>0</v>
      </c>
      <c r="S1099" s="126">
        <f t="shared" si="419"/>
        <v>16849360.93</v>
      </c>
      <c r="T1099" s="126">
        <f t="shared" si="368"/>
        <v>1801.6082428039863</v>
      </c>
      <c r="U1099" s="126">
        <f>MAX(U1100:U1102)</f>
        <v>3327.1532384893949</v>
      </c>
    </row>
    <row r="1100" spans="1:185" s="76" customFormat="1" ht="35.25" x14ac:dyDescent="0.25">
      <c r="A1100" s="76">
        <v>1</v>
      </c>
      <c r="B1100" s="138">
        <f>SUBTOTAL(103,$A$890:A1100)</f>
        <v>175</v>
      </c>
      <c r="C1100" s="139" t="s">
        <v>70</v>
      </c>
      <c r="D1100" s="140">
        <v>1977</v>
      </c>
      <c r="E1100" s="140"/>
      <c r="F1100" s="141" t="s">
        <v>274</v>
      </c>
      <c r="G1100" s="140">
        <v>5</v>
      </c>
      <c r="H1100" s="140">
        <v>6</v>
      </c>
      <c r="I1100" s="142">
        <v>4338.6000000000004</v>
      </c>
      <c r="J1100" s="142">
        <v>4331.6000000000004</v>
      </c>
      <c r="K1100" s="142">
        <v>4154.6000000000004</v>
      </c>
      <c r="L1100" s="143">
        <v>174</v>
      </c>
      <c r="M1100" s="140" t="s">
        <v>272</v>
      </c>
      <c r="N1100" s="140" t="s">
        <v>276</v>
      </c>
      <c r="O1100" s="140" t="s">
        <v>278</v>
      </c>
      <c r="P1100" s="144">
        <v>5782944.25</v>
      </c>
      <c r="Q1100" s="144">
        <v>0</v>
      </c>
      <c r="R1100" s="144">
        <v>0</v>
      </c>
      <c r="S1100" s="144">
        <f t="shared" ref="S1100:S1102" si="420">P1100-Q1100-R1100</f>
        <v>5782944.25</v>
      </c>
      <c r="T1100" s="145">
        <f t="shared" si="368"/>
        <v>1332.905603189969</v>
      </c>
      <c r="U1100" s="145">
        <v>1629.5122693956573</v>
      </c>
      <c r="DK1100" s="146"/>
      <c r="DL1100" s="146"/>
      <c r="DM1100" s="146"/>
      <c r="EA1100" s="147"/>
      <c r="EJ1100" s="148"/>
      <c r="FM1100" s="149"/>
      <c r="GC1100" s="150"/>
    </row>
    <row r="1101" spans="1:185" s="76" customFormat="1" ht="35.25" x14ac:dyDescent="0.25">
      <c r="A1101" s="76">
        <v>1</v>
      </c>
      <c r="B1101" s="138">
        <f>SUBTOTAL(103,$A$890:A1101)</f>
        <v>176</v>
      </c>
      <c r="C1101" s="139" t="s">
        <v>69</v>
      </c>
      <c r="D1101" s="140">
        <v>1965</v>
      </c>
      <c r="E1101" s="140"/>
      <c r="F1101" s="141" t="s">
        <v>274</v>
      </c>
      <c r="G1101" s="140">
        <v>4</v>
      </c>
      <c r="H1101" s="140">
        <v>4</v>
      </c>
      <c r="I1101" s="142">
        <v>2512.9</v>
      </c>
      <c r="J1101" s="142">
        <v>2463.4</v>
      </c>
      <c r="K1101" s="142">
        <v>2431.4</v>
      </c>
      <c r="L1101" s="143">
        <v>86</v>
      </c>
      <c r="M1101" s="140" t="s">
        <v>272</v>
      </c>
      <c r="N1101" s="140" t="s">
        <v>276</v>
      </c>
      <c r="O1101" s="140" t="s">
        <v>278</v>
      </c>
      <c r="P1101" s="144">
        <v>6823737.3099999996</v>
      </c>
      <c r="Q1101" s="144">
        <v>0</v>
      </c>
      <c r="R1101" s="144">
        <v>0</v>
      </c>
      <c r="S1101" s="144">
        <f t="shared" si="420"/>
        <v>6823737.3099999996</v>
      </c>
      <c r="T1101" s="145">
        <f t="shared" si="368"/>
        <v>2715.4830315571648</v>
      </c>
      <c r="U1101" s="145">
        <v>3327.1532384893949</v>
      </c>
      <c r="DK1101" s="146"/>
      <c r="DL1101" s="146"/>
      <c r="DM1101" s="146"/>
      <c r="EA1101" s="147"/>
      <c r="EJ1101" s="148"/>
      <c r="FM1101" s="149"/>
      <c r="GC1101" s="150"/>
    </row>
    <row r="1102" spans="1:185" s="76" customFormat="1" ht="35.25" x14ac:dyDescent="0.25">
      <c r="A1102" s="76">
        <v>1</v>
      </c>
      <c r="B1102" s="138">
        <f>SUBTOTAL(103,$A$890:A1102)</f>
        <v>177</v>
      </c>
      <c r="C1102" s="139" t="s">
        <v>68</v>
      </c>
      <c r="D1102" s="140">
        <v>1967</v>
      </c>
      <c r="E1102" s="140"/>
      <c r="F1102" s="141" t="s">
        <v>274</v>
      </c>
      <c r="G1102" s="140">
        <v>4</v>
      </c>
      <c r="H1102" s="140">
        <v>4</v>
      </c>
      <c r="I1102" s="142">
        <v>2500.9</v>
      </c>
      <c r="J1102" s="142">
        <v>2458</v>
      </c>
      <c r="K1102" s="142">
        <v>2416.3000000000002</v>
      </c>
      <c r="L1102" s="143">
        <v>111</v>
      </c>
      <c r="M1102" s="140" t="s">
        <v>272</v>
      </c>
      <c r="N1102" s="140" t="s">
        <v>276</v>
      </c>
      <c r="O1102" s="140" t="s">
        <v>278</v>
      </c>
      <c r="P1102" s="144">
        <v>4242679.37</v>
      </c>
      <c r="Q1102" s="144">
        <v>0</v>
      </c>
      <c r="R1102" s="144">
        <v>0</v>
      </c>
      <c r="S1102" s="144">
        <f t="shared" si="420"/>
        <v>4242679.37</v>
      </c>
      <c r="T1102" s="145">
        <f t="shared" ref="T1102:T1159" si="421">P1102/I1102</f>
        <v>1696.4610220320685</v>
      </c>
      <c r="U1102" s="145">
        <v>3255.85</v>
      </c>
      <c r="DK1102" s="146"/>
      <c r="DL1102" s="146"/>
      <c r="DM1102" s="146"/>
      <c r="EA1102" s="147"/>
      <c r="EJ1102" s="148"/>
      <c r="FM1102" s="149"/>
      <c r="GC1102" s="150"/>
    </row>
    <row r="1103" spans="1:185" s="67" customFormat="1" ht="61.5" x14ac:dyDescent="0.9">
      <c r="B1103" s="115" t="s">
        <v>896</v>
      </c>
      <c r="C1103" s="115"/>
      <c r="D1103" s="122" t="s">
        <v>943</v>
      </c>
      <c r="E1103" s="122" t="s">
        <v>943</v>
      </c>
      <c r="F1103" s="122" t="s">
        <v>943</v>
      </c>
      <c r="G1103" s="122" t="s">
        <v>943</v>
      </c>
      <c r="H1103" s="122" t="s">
        <v>943</v>
      </c>
      <c r="I1103" s="123">
        <f>I1104</f>
        <v>2168.41</v>
      </c>
      <c r="J1103" s="123">
        <f t="shared" ref="J1103:L1103" si="422">J1104</f>
        <v>1286.56</v>
      </c>
      <c r="K1103" s="123">
        <f t="shared" si="422"/>
        <v>1251.51</v>
      </c>
      <c r="L1103" s="124">
        <f t="shared" si="422"/>
        <v>62</v>
      </c>
      <c r="M1103" s="122" t="s">
        <v>943</v>
      </c>
      <c r="N1103" s="122" t="s">
        <v>943</v>
      </c>
      <c r="O1103" s="125" t="s">
        <v>943</v>
      </c>
      <c r="P1103" s="126">
        <v>3799734.79</v>
      </c>
      <c r="Q1103" s="126">
        <f t="shared" ref="Q1103:S1103" si="423">Q1104</f>
        <v>0</v>
      </c>
      <c r="R1103" s="126">
        <f t="shared" si="423"/>
        <v>0</v>
      </c>
      <c r="S1103" s="126">
        <f t="shared" si="423"/>
        <v>3799734.79</v>
      </c>
      <c r="T1103" s="126">
        <f t="shared" si="421"/>
        <v>1752.3138105801027</v>
      </c>
      <c r="U1103" s="126">
        <f>MAX(U1104)</f>
        <v>2489.503779820237</v>
      </c>
    </row>
    <row r="1104" spans="1:185" s="76" customFormat="1" ht="35.25" x14ac:dyDescent="0.25">
      <c r="A1104" s="76">
        <v>1</v>
      </c>
      <c r="B1104" s="138">
        <f>SUBTOTAL(103,$A$890:A1104)</f>
        <v>178</v>
      </c>
      <c r="C1104" s="139" t="s">
        <v>66</v>
      </c>
      <c r="D1104" s="140">
        <v>1954</v>
      </c>
      <c r="E1104" s="140"/>
      <c r="F1104" s="141" t="s">
        <v>274</v>
      </c>
      <c r="G1104" s="140">
        <v>3</v>
      </c>
      <c r="H1104" s="140">
        <v>3</v>
      </c>
      <c r="I1104" s="142">
        <v>2168.41</v>
      </c>
      <c r="J1104" s="142">
        <v>1286.56</v>
      </c>
      <c r="K1104" s="142">
        <v>1251.51</v>
      </c>
      <c r="L1104" s="143">
        <v>62</v>
      </c>
      <c r="M1104" s="140" t="s">
        <v>272</v>
      </c>
      <c r="N1104" s="140" t="s">
        <v>276</v>
      </c>
      <c r="O1104" s="140" t="s">
        <v>280</v>
      </c>
      <c r="P1104" s="144">
        <v>3799734.79</v>
      </c>
      <c r="Q1104" s="144">
        <v>0</v>
      </c>
      <c r="R1104" s="144">
        <v>0</v>
      </c>
      <c r="S1104" s="144">
        <f>P1104-Q1104-R1104</f>
        <v>3799734.79</v>
      </c>
      <c r="T1104" s="145">
        <f t="shared" si="421"/>
        <v>1752.3138105801027</v>
      </c>
      <c r="U1104" s="145">
        <v>2489.503779820237</v>
      </c>
      <c r="DK1104" s="146"/>
      <c r="DL1104" s="146"/>
      <c r="DM1104" s="146"/>
      <c r="EA1104" s="147"/>
      <c r="EJ1104" s="148"/>
      <c r="FM1104" s="149"/>
      <c r="GC1104" s="150"/>
    </row>
    <row r="1105" spans="1:185" s="67" customFormat="1" ht="61.5" x14ac:dyDescent="0.9">
      <c r="B1105" s="115" t="s">
        <v>897</v>
      </c>
      <c r="C1105" s="115"/>
      <c r="D1105" s="122" t="s">
        <v>943</v>
      </c>
      <c r="E1105" s="122" t="s">
        <v>943</v>
      </c>
      <c r="F1105" s="122" t="s">
        <v>943</v>
      </c>
      <c r="G1105" s="122" t="s">
        <v>943</v>
      </c>
      <c r="H1105" s="122" t="s">
        <v>943</v>
      </c>
      <c r="I1105" s="123">
        <f>I1106</f>
        <v>780.3</v>
      </c>
      <c r="J1105" s="123">
        <f t="shared" ref="J1105:L1105" si="424">J1106</f>
        <v>720.3</v>
      </c>
      <c r="K1105" s="123">
        <f t="shared" si="424"/>
        <v>720.3</v>
      </c>
      <c r="L1105" s="124">
        <f t="shared" si="424"/>
        <v>24</v>
      </c>
      <c r="M1105" s="122" t="s">
        <v>943</v>
      </c>
      <c r="N1105" s="122" t="s">
        <v>943</v>
      </c>
      <c r="O1105" s="125" t="s">
        <v>943</v>
      </c>
      <c r="P1105" s="126">
        <v>2311215.4500000002</v>
      </c>
      <c r="Q1105" s="126">
        <f t="shared" ref="Q1105:S1105" si="425">Q1106</f>
        <v>0</v>
      </c>
      <c r="R1105" s="126">
        <f t="shared" si="425"/>
        <v>0</v>
      </c>
      <c r="S1105" s="126">
        <f t="shared" si="425"/>
        <v>2311215.4500000002</v>
      </c>
      <c r="T1105" s="126">
        <f t="shared" si="421"/>
        <v>2961.9575163398695</v>
      </c>
      <c r="U1105" s="126">
        <f>MAX(U1106)</f>
        <v>4064.8826092528516</v>
      </c>
    </row>
    <row r="1106" spans="1:185" s="76" customFormat="1" ht="35.25" x14ac:dyDescent="0.25">
      <c r="A1106" s="76">
        <v>1</v>
      </c>
      <c r="B1106" s="138">
        <f>SUBTOTAL(103,$A$890:A1106)</f>
        <v>179</v>
      </c>
      <c r="C1106" s="139" t="s">
        <v>65</v>
      </c>
      <c r="D1106" s="140">
        <v>1964</v>
      </c>
      <c r="E1106" s="140"/>
      <c r="F1106" s="141" t="s">
        <v>274</v>
      </c>
      <c r="G1106" s="140">
        <v>2</v>
      </c>
      <c r="H1106" s="140">
        <v>2</v>
      </c>
      <c r="I1106" s="142">
        <v>780.3</v>
      </c>
      <c r="J1106" s="142">
        <v>720.3</v>
      </c>
      <c r="K1106" s="142">
        <v>720.3</v>
      </c>
      <c r="L1106" s="143">
        <v>24</v>
      </c>
      <c r="M1106" s="140" t="s">
        <v>272</v>
      </c>
      <c r="N1106" s="140" t="s">
        <v>276</v>
      </c>
      <c r="O1106" s="140" t="s">
        <v>281</v>
      </c>
      <c r="P1106" s="144">
        <v>2311215.4500000002</v>
      </c>
      <c r="Q1106" s="144">
        <v>0</v>
      </c>
      <c r="R1106" s="144">
        <v>0</v>
      </c>
      <c r="S1106" s="144">
        <f>P1106-Q1106-R1106</f>
        <v>2311215.4500000002</v>
      </c>
      <c r="T1106" s="145">
        <f t="shared" si="421"/>
        <v>2961.9575163398695</v>
      </c>
      <c r="U1106" s="145">
        <v>4064.8826092528516</v>
      </c>
      <c r="DK1106" s="146"/>
      <c r="DL1106" s="146"/>
      <c r="DM1106" s="146"/>
      <c r="EA1106" s="147"/>
      <c r="EJ1106" s="148"/>
      <c r="FM1106" s="149"/>
      <c r="GC1106" s="150"/>
    </row>
    <row r="1107" spans="1:185" s="67" customFormat="1" ht="61.5" x14ac:dyDescent="0.9">
      <c r="B1107" s="115" t="s">
        <v>936</v>
      </c>
      <c r="C1107" s="115"/>
      <c r="D1107" s="122" t="s">
        <v>943</v>
      </c>
      <c r="E1107" s="122" t="s">
        <v>943</v>
      </c>
      <c r="F1107" s="122" t="s">
        <v>943</v>
      </c>
      <c r="G1107" s="122" t="s">
        <v>943</v>
      </c>
      <c r="H1107" s="122" t="s">
        <v>943</v>
      </c>
      <c r="I1107" s="123">
        <f>I1108</f>
        <v>540.79999999999995</v>
      </c>
      <c r="J1107" s="123">
        <f t="shared" ref="J1107:L1107" si="426">J1108</f>
        <v>281.10000000000002</v>
      </c>
      <c r="K1107" s="123">
        <f t="shared" si="426"/>
        <v>251.8</v>
      </c>
      <c r="L1107" s="124">
        <f t="shared" si="426"/>
        <v>15</v>
      </c>
      <c r="M1107" s="122" t="s">
        <v>943</v>
      </c>
      <c r="N1107" s="122" t="s">
        <v>943</v>
      </c>
      <c r="O1107" s="125" t="s">
        <v>943</v>
      </c>
      <c r="P1107" s="126">
        <v>3215375.5700000003</v>
      </c>
      <c r="Q1107" s="126">
        <f t="shared" ref="Q1107:S1107" si="427">Q1108</f>
        <v>0</v>
      </c>
      <c r="R1107" s="126">
        <f t="shared" si="427"/>
        <v>0</v>
      </c>
      <c r="S1107" s="126">
        <f t="shared" si="427"/>
        <v>3215375.5700000003</v>
      </c>
      <c r="T1107" s="126">
        <f t="shared" si="421"/>
        <v>5945.5909208579897</v>
      </c>
      <c r="U1107" s="126">
        <f>MAX(U1108)</f>
        <v>7683.9856937869827</v>
      </c>
    </row>
    <row r="1108" spans="1:185" s="76" customFormat="1" ht="35.25" x14ac:dyDescent="0.25">
      <c r="A1108" s="76">
        <v>1</v>
      </c>
      <c r="B1108" s="138">
        <f>SUBTOTAL(103,$A$890:A1108)</f>
        <v>180</v>
      </c>
      <c r="C1108" s="139" t="s">
        <v>71</v>
      </c>
      <c r="D1108" s="140">
        <v>1958</v>
      </c>
      <c r="E1108" s="140"/>
      <c r="F1108" s="141" t="s">
        <v>274</v>
      </c>
      <c r="G1108" s="140">
        <v>2</v>
      </c>
      <c r="H1108" s="140">
        <v>2</v>
      </c>
      <c r="I1108" s="142">
        <v>540.79999999999995</v>
      </c>
      <c r="J1108" s="142">
        <v>281.10000000000002</v>
      </c>
      <c r="K1108" s="142">
        <v>251.8</v>
      </c>
      <c r="L1108" s="143">
        <v>15</v>
      </c>
      <c r="M1108" s="140" t="s">
        <v>272</v>
      </c>
      <c r="N1108" s="140" t="s">
        <v>273</v>
      </c>
      <c r="O1108" s="140" t="s">
        <v>275</v>
      </c>
      <c r="P1108" s="144">
        <v>3215375.5700000003</v>
      </c>
      <c r="Q1108" s="144">
        <v>0</v>
      </c>
      <c r="R1108" s="144">
        <v>0</v>
      </c>
      <c r="S1108" s="144">
        <f>P1108-Q1108-R1108</f>
        <v>3215375.5700000003</v>
      </c>
      <c r="T1108" s="145">
        <f t="shared" si="421"/>
        <v>5945.5909208579897</v>
      </c>
      <c r="U1108" s="145">
        <v>7683.9856937869827</v>
      </c>
      <c r="DK1108" s="146"/>
      <c r="DL1108" s="146"/>
      <c r="DM1108" s="146"/>
      <c r="EA1108" s="147"/>
      <c r="EJ1108" s="148"/>
      <c r="FM1108" s="149"/>
      <c r="GC1108" s="150"/>
    </row>
    <row r="1109" spans="1:185" s="67" customFormat="1" ht="61.5" x14ac:dyDescent="0.9">
      <c r="B1109" s="115" t="s">
        <v>898</v>
      </c>
      <c r="C1109" s="115"/>
      <c r="D1109" s="122" t="s">
        <v>943</v>
      </c>
      <c r="E1109" s="122" t="s">
        <v>943</v>
      </c>
      <c r="F1109" s="122" t="s">
        <v>943</v>
      </c>
      <c r="G1109" s="122" t="s">
        <v>943</v>
      </c>
      <c r="H1109" s="122" t="s">
        <v>943</v>
      </c>
      <c r="I1109" s="123">
        <f>SUM(I1110:I1112)</f>
        <v>2550.6999999999998</v>
      </c>
      <c r="J1109" s="123">
        <f t="shared" ref="J1109:L1109" si="428">SUM(J1110:J1112)</f>
        <v>2342.9800000000005</v>
      </c>
      <c r="K1109" s="123">
        <f t="shared" si="428"/>
        <v>2272.58</v>
      </c>
      <c r="L1109" s="124">
        <f t="shared" si="428"/>
        <v>119</v>
      </c>
      <c r="M1109" s="122" t="s">
        <v>943</v>
      </c>
      <c r="N1109" s="122" t="s">
        <v>943</v>
      </c>
      <c r="O1109" s="125" t="s">
        <v>943</v>
      </c>
      <c r="P1109" s="126">
        <v>10672314.84</v>
      </c>
      <c r="Q1109" s="126">
        <f t="shared" ref="Q1109:S1109" si="429">Q1110+Q1111+Q1112</f>
        <v>0</v>
      </c>
      <c r="R1109" s="126">
        <f t="shared" si="429"/>
        <v>0</v>
      </c>
      <c r="S1109" s="126">
        <f t="shared" si="429"/>
        <v>10672314.84</v>
      </c>
      <c r="T1109" s="126">
        <f t="shared" si="421"/>
        <v>4184.0729368408674</v>
      </c>
      <c r="U1109" s="126">
        <f>MAX(U1110:U1112)</f>
        <v>6539.8513402061853</v>
      </c>
    </row>
    <row r="1110" spans="1:185" s="76" customFormat="1" ht="35.25" x14ac:dyDescent="0.25">
      <c r="A1110" s="76">
        <v>1</v>
      </c>
      <c r="B1110" s="138">
        <f>SUBTOTAL(103,$A$890:A1110)</f>
        <v>181</v>
      </c>
      <c r="C1110" s="139" t="s">
        <v>72</v>
      </c>
      <c r="D1110" s="140">
        <v>1979</v>
      </c>
      <c r="E1110" s="140"/>
      <c r="F1110" s="141" t="s">
        <v>274</v>
      </c>
      <c r="G1110" s="140">
        <v>3</v>
      </c>
      <c r="H1110" s="140">
        <v>2</v>
      </c>
      <c r="I1110" s="142">
        <v>850.1</v>
      </c>
      <c r="J1110" s="142">
        <v>757.1</v>
      </c>
      <c r="K1110" s="142">
        <v>745</v>
      </c>
      <c r="L1110" s="143">
        <v>29</v>
      </c>
      <c r="M1110" s="140" t="s">
        <v>272</v>
      </c>
      <c r="N1110" s="140" t="s">
        <v>273</v>
      </c>
      <c r="O1110" s="140" t="s">
        <v>275</v>
      </c>
      <c r="P1110" s="144">
        <v>2391584.4</v>
      </c>
      <c r="Q1110" s="144">
        <v>0</v>
      </c>
      <c r="R1110" s="144">
        <v>0</v>
      </c>
      <c r="S1110" s="144">
        <f t="shared" ref="S1110:S1112" si="430">P1110-Q1110-R1110</f>
        <v>2391584.4</v>
      </c>
      <c r="T1110" s="145">
        <f t="shared" si="421"/>
        <v>2813.2977296788613</v>
      </c>
      <c r="U1110" s="145">
        <v>3635.8605575814609</v>
      </c>
      <c r="DK1110" s="146"/>
      <c r="DL1110" s="146"/>
      <c r="DM1110" s="146"/>
      <c r="EA1110" s="147"/>
      <c r="EJ1110" s="148"/>
      <c r="FM1110" s="149"/>
      <c r="GC1110" s="150"/>
    </row>
    <row r="1111" spans="1:185" s="76" customFormat="1" ht="35.25" x14ac:dyDescent="0.25">
      <c r="A1111" s="76">
        <v>1</v>
      </c>
      <c r="B1111" s="138">
        <f>SUBTOTAL(103,$A$890:A1111)</f>
        <v>182</v>
      </c>
      <c r="C1111" s="139" t="s">
        <v>73</v>
      </c>
      <c r="D1111" s="140">
        <v>1980</v>
      </c>
      <c r="E1111" s="140"/>
      <c r="F1111" s="141" t="s">
        <v>274</v>
      </c>
      <c r="G1111" s="140">
        <v>2</v>
      </c>
      <c r="H1111" s="140">
        <v>2</v>
      </c>
      <c r="I1111" s="142">
        <v>970</v>
      </c>
      <c r="J1111" s="142">
        <v>885.2</v>
      </c>
      <c r="K1111" s="142">
        <v>826.90000000000009</v>
      </c>
      <c r="L1111" s="143">
        <v>60</v>
      </c>
      <c r="M1111" s="140" t="s">
        <v>272</v>
      </c>
      <c r="N1111" s="140" t="s">
        <v>273</v>
      </c>
      <c r="O1111" s="140" t="s">
        <v>275</v>
      </c>
      <c r="P1111" s="144">
        <v>4908492</v>
      </c>
      <c r="Q1111" s="144">
        <v>0</v>
      </c>
      <c r="R1111" s="144">
        <v>0</v>
      </c>
      <c r="S1111" s="144">
        <f t="shared" si="430"/>
        <v>4908492</v>
      </c>
      <c r="T1111" s="145">
        <f t="shared" si="421"/>
        <v>5060.3010309278352</v>
      </c>
      <c r="U1111" s="145">
        <v>6539.8513402061853</v>
      </c>
      <c r="DK1111" s="146"/>
      <c r="DL1111" s="146"/>
      <c r="DM1111" s="146"/>
      <c r="EA1111" s="147"/>
      <c r="EJ1111" s="148"/>
      <c r="FM1111" s="149"/>
      <c r="GC1111" s="150"/>
    </row>
    <row r="1112" spans="1:185" s="76" customFormat="1" ht="35.25" x14ac:dyDescent="0.25">
      <c r="A1112" s="76">
        <v>1</v>
      </c>
      <c r="B1112" s="138">
        <f>SUBTOTAL(103,$A$890:A1112)</f>
        <v>183</v>
      </c>
      <c r="C1112" s="139" t="s">
        <v>74</v>
      </c>
      <c r="D1112" s="140">
        <v>1969</v>
      </c>
      <c r="E1112" s="140"/>
      <c r="F1112" s="141" t="s">
        <v>274</v>
      </c>
      <c r="G1112" s="140">
        <v>2</v>
      </c>
      <c r="H1112" s="140">
        <v>2</v>
      </c>
      <c r="I1112" s="142">
        <v>730.6</v>
      </c>
      <c r="J1112" s="142">
        <v>700.68000000000006</v>
      </c>
      <c r="K1112" s="142">
        <v>700.68</v>
      </c>
      <c r="L1112" s="143">
        <v>30</v>
      </c>
      <c r="M1112" s="140" t="s">
        <v>272</v>
      </c>
      <c r="N1112" s="140" t="s">
        <v>273</v>
      </c>
      <c r="O1112" s="140" t="s">
        <v>275</v>
      </c>
      <c r="P1112" s="144">
        <v>3372238.44</v>
      </c>
      <c r="Q1112" s="144">
        <v>0</v>
      </c>
      <c r="R1112" s="144">
        <v>0</v>
      </c>
      <c r="S1112" s="144">
        <f t="shared" si="430"/>
        <v>3372238.44</v>
      </c>
      <c r="T1112" s="145">
        <f t="shared" si="421"/>
        <v>4615.710977278949</v>
      </c>
      <c r="U1112" s="145">
        <v>5965.2703339720765</v>
      </c>
      <c r="DK1112" s="146"/>
      <c r="DL1112" s="146"/>
      <c r="DM1112" s="146"/>
      <c r="EA1112" s="147"/>
      <c r="EJ1112" s="148"/>
      <c r="FM1112" s="149"/>
      <c r="GC1112" s="150"/>
    </row>
    <row r="1113" spans="1:185" s="67" customFormat="1" ht="61.5" x14ac:dyDescent="0.9">
      <c r="B1113" s="115" t="s">
        <v>894</v>
      </c>
      <c r="C1113" s="115"/>
      <c r="D1113" s="122" t="s">
        <v>943</v>
      </c>
      <c r="E1113" s="122" t="s">
        <v>943</v>
      </c>
      <c r="F1113" s="122" t="s">
        <v>943</v>
      </c>
      <c r="G1113" s="122" t="s">
        <v>943</v>
      </c>
      <c r="H1113" s="122" t="s">
        <v>943</v>
      </c>
      <c r="I1113" s="123">
        <f>I1114</f>
        <v>7170.75</v>
      </c>
      <c r="J1113" s="123">
        <f t="shared" ref="J1113:L1113" si="431">J1114</f>
        <v>5092.8999999999996</v>
      </c>
      <c r="K1113" s="123">
        <f t="shared" si="431"/>
        <v>3015.05</v>
      </c>
      <c r="L1113" s="124">
        <f t="shared" si="431"/>
        <v>213</v>
      </c>
      <c r="M1113" s="122" t="s">
        <v>943</v>
      </c>
      <c r="N1113" s="122" t="s">
        <v>943</v>
      </c>
      <c r="O1113" s="125" t="s">
        <v>943</v>
      </c>
      <c r="P1113" s="126">
        <v>5871927.6600000001</v>
      </c>
      <c r="Q1113" s="126">
        <f t="shared" ref="Q1113:S1113" si="432">Q1114</f>
        <v>0</v>
      </c>
      <c r="R1113" s="126">
        <f t="shared" si="432"/>
        <v>0</v>
      </c>
      <c r="S1113" s="126">
        <f t="shared" si="432"/>
        <v>5871927.6600000001</v>
      </c>
      <c r="T1113" s="126">
        <f t="shared" si="421"/>
        <v>818.87217655057009</v>
      </c>
      <c r="U1113" s="126">
        <f>MAX(U1114)</f>
        <v>1280.870727608688</v>
      </c>
    </row>
    <row r="1114" spans="1:185" s="76" customFormat="1" ht="35.25" x14ac:dyDescent="0.25">
      <c r="A1114" s="76">
        <v>1</v>
      </c>
      <c r="B1114" s="138">
        <f>SUBTOTAL(103,$A$890:A1114)</f>
        <v>184</v>
      </c>
      <c r="C1114" s="139" t="s">
        <v>53</v>
      </c>
      <c r="D1114" s="140">
        <v>1981</v>
      </c>
      <c r="E1114" s="140"/>
      <c r="F1114" s="141" t="s">
        <v>274</v>
      </c>
      <c r="G1114" s="140">
        <v>5</v>
      </c>
      <c r="H1114" s="140">
        <v>8</v>
      </c>
      <c r="I1114" s="142">
        <v>7170.75</v>
      </c>
      <c r="J1114" s="142">
        <v>5092.8999999999996</v>
      </c>
      <c r="K1114" s="142">
        <v>3015.05</v>
      </c>
      <c r="L1114" s="143">
        <v>213</v>
      </c>
      <c r="M1114" s="140" t="s">
        <v>272</v>
      </c>
      <c r="N1114" s="140" t="s">
        <v>276</v>
      </c>
      <c r="O1114" s="140" t="s">
        <v>277</v>
      </c>
      <c r="P1114" s="144">
        <v>5871927.6600000001</v>
      </c>
      <c r="Q1114" s="144">
        <v>0</v>
      </c>
      <c r="R1114" s="144">
        <v>0</v>
      </c>
      <c r="S1114" s="144">
        <f>P1114-Q1114-R1114</f>
        <v>5871927.6600000001</v>
      </c>
      <c r="T1114" s="145">
        <f t="shared" si="421"/>
        <v>818.87217655057009</v>
      </c>
      <c r="U1114" s="145">
        <v>1280.870727608688</v>
      </c>
      <c r="DK1114" s="146"/>
      <c r="DL1114" s="146"/>
      <c r="DM1114" s="146"/>
      <c r="EA1114" s="147"/>
      <c r="EJ1114" s="148"/>
      <c r="FM1114" s="149"/>
      <c r="GC1114" s="150"/>
    </row>
    <row r="1115" spans="1:185" s="67" customFormat="1" ht="61.5" x14ac:dyDescent="0.9">
      <c r="B1115" s="115" t="s">
        <v>899</v>
      </c>
      <c r="C1115" s="119"/>
      <c r="D1115" s="122" t="s">
        <v>943</v>
      </c>
      <c r="E1115" s="122" t="s">
        <v>943</v>
      </c>
      <c r="F1115" s="122" t="s">
        <v>943</v>
      </c>
      <c r="G1115" s="122" t="s">
        <v>943</v>
      </c>
      <c r="H1115" s="122" t="s">
        <v>943</v>
      </c>
      <c r="I1115" s="123">
        <f>I1116</f>
        <v>1046.8</v>
      </c>
      <c r="J1115" s="123">
        <f t="shared" ref="J1115:L1115" si="433">J1116</f>
        <v>929.5</v>
      </c>
      <c r="K1115" s="123">
        <f t="shared" si="433"/>
        <v>929.5</v>
      </c>
      <c r="L1115" s="124">
        <f t="shared" si="433"/>
        <v>44</v>
      </c>
      <c r="M1115" s="122" t="s">
        <v>943</v>
      </c>
      <c r="N1115" s="122" t="s">
        <v>943</v>
      </c>
      <c r="O1115" s="125" t="s">
        <v>943</v>
      </c>
      <c r="P1115" s="126">
        <v>4804056</v>
      </c>
      <c r="Q1115" s="126">
        <f t="shared" ref="Q1115:S1115" si="434">Q1116</f>
        <v>0</v>
      </c>
      <c r="R1115" s="126">
        <f t="shared" si="434"/>
        <v>0</v>
      </c>
      <c r="S1115" s="126">
        <f t="shared" si="434"/>
        <v>4804056</v>
      </c>
      <c r="T1115" s="126">
        <f t="shared" si="421"/>
        <v>4589.277799006496</v>
      </c>
      <c r="U1115" s="126">
        <f>MAX(U1116)</f>
        <v>5963.342806648835</v>
      </c>
    </row>
    <row r="1116" spans="1:185" s="76" customFormat="1" ht="35.25" x14ac:dyDescent="0.25">
      <c r="A1116" s="76">
        <v>1</v>
      </c>
      <c r="B1116" s="138">
        <f>SUBTOTAL(103,$A$890:A1116)</f>
        <v>185</v>
      </c>
      <c r="C1116" s="139" t="s">
        <v>232</v>
      </c>
      <c r="D1116" s="140">
        <v>1994</v>
      </c>
      <c r="E1116" s="140"/>
      <c r="F1116" s="141" t="s">
        <v>274</v>
      </c>
      <c r="G1116" s="140">
        <v>2</v>
      </c>
      <c r="H1116" s="140">
        <v>2</v>
      </c>
      <c r="I1116" s="142">
        <v>1046.8</v>
      </c>
      <c r="J1116" s="142">
        <v>929.5</v>
      </c>
      <c r="K1116" s="142">
        <v>929.5</v>
      </c>
      <c r="L1116" s="143">
        <v>44</v>
      </c>
      <c r="M1116" s="140" t="s">
        <v>272</v>
      </c>
      <c r="N1116" s="140" t="s">
        <v>276</v>
      </c>
      <c r="O1116" s="140" t="s">
        <v>751</v>
      </c>
      <c r="P1116" s="144">
        <v>4804056</v>
      </c>
      <c r="Q1116" s="144">
        <v>0</v>
      </c>
      <c r="R1116" s="144">
        <v>0</v>
      </c>
      <c r="S1116" s="144">
        <f>P1116-Q1116-R1116</f>
        <v>4804056</v>
      </c>
      <c r="T1116" s="145">
        <f t="shared" si="421"/>
        <v>4589.277799006496</v>
      </c>
      <c r="U1116" s="145">
        <v>5963.342806648835</v>
      </c>
      <c r="DK1116" s="146"/>
      <c r="DL1116" s="146"/>
      <c r="DM1116" s="146"/>
      <c r="EA1116" s="147"/>
      <c r="EJ1116" s="148"/>
      <c r="FM1116" s="149"/>
      <c r="GC1116" s="150"/>
    </row>
    <row r="1117" spans="1:185" s="67" customFormat="1" ht="61.5" x14ac:dyDescent="0.9">
      <c r="B1117" s="115" t="s">
        <v>935</v>
      </c>
      <c r="C1117" s="119"/>
      <c r="D1117" s="122" t="s">
        <v>943</v>
      </c>
      <c r="E1117" s="122" t="s">
        <v>943</v>
      </c>
      <c r="F1117" s="122" t="s">
        <v>943</v>
      </c>
      <c r="G1117" s="122" t="s">
        <v>943</v>
      </c>
      <c r="H1117" s="122" t="s">
        <v>943</v>
      </c>
      <c r="I1117" s="123">
        <f>I1118</f>
        <v>3554.5</v>
      </c>
      <c r="J1117" s="123">
        <f t="shared" ref="J1117:L1117" si="435">J1118</f>
        <v>3290.7</v>
      </c>
      <c r="K1117" s="123">
        <f t="shared" si="435"/>
        <v>3220.4</v>
      </c>
      <c r="L1117" s="124">
        <f t="shared" si="435"/>
        <v>145</v>
      </c>
      <c r="M1117" s="122" t="s">
        <v>943</v>
      </c>
      <c r="N1117" s="122" t="s">
        <v>943</v>
      </c>
      <c r="O1117" s="125" t="s">
        <v>943</v>
      </c>
      <c r="P1117" s="126">
        <v>7284801.9000000004</v>
      </c>
      <c r="Q1117" s="126">
        <f t="shared" ref="Q1117:S1117" si="436">Q1118</f>
        <v>0</v>
      </c>
      <c r="R1117" s="126">
        <f t="shared" si="436"/>
        <v>0</v>
      </c>
      <c r="S1117" s="126">
        <f t="shared" si="436"/>
        <v>7284801.9000000004</v>
      </c>
      <c r="T1117" s="126">
        <f t="shared" si="421"/>
        <v>2049.4589675059783</v>
      </c>
      <c r="U1117" s="126">
        <f>MAX(U1118)</f>
        <v>2850.7598026798014</v>
      </c>
    </row>
    <row r="1118" spans="1:185" s="76" customFormat="1" ht="35.25" x14ac:dyDescent="0.25">
      <c r="A1118" s="76">
        <v>1</v>
      </c>
      <c r="B1118" s="138">
        <f>SUBTOTAL(103,$A$890:A1118)</f>
        <v>186</v>
      </c>
      <c r="C1118" s="139" t="s">
        <v>163</v>
      </c>
      <c r="D1118" s="140">
        <v>1987</v>
      </c>
      <c r="E1118" s="140"/>
      <c r="F1118" s="141" t="s">
        <v>295</v>
      </c>
      <c r="G1118" s="140">
        <v>3</v>
      </c>
      <c r="H1118" s="140">
        <v>7</v>
      </c>
      <c r="I1118" s="142">
        <v>3554.5</v>
      </c>
      <c r="J1118" s="142">
        <v>3290.7</v>
      </c>
      <c r="K1118" s="142">
        <v>3220.4</v>
      </c>
      <c r="L1118" s="143">
        <v>145</v>
      </c>
      <c r="M1118" s="140" t="s">
        <v>272</v>
      </c>
      <c r="N1118" s="140" t="s">
        <v>276</v>
      </c>
      <c r="O1118" s="140" t="s">
        <v>1064</v>
      </c>
      <c r="P1118" s="144">
        <v>7284801.9000000004</v>
      </c>
      <c r="Q1118" s="144">
        <v>0</v>
      </c>
      <c r="R1118" s="144">
        <v>0</v>
      </c>
      <c r="S1118" s="144">
        <f>P1118-Q1118-R1118</f>
        <v>7284801.9000000004</v>
      </c>
      <c r="T1118" s="145">
        <f t="shared" si="421"/>
        <v>2049.4589675059783</v>
      </c>
      <c r="U1118" s="145">
        <v>2850.7598026798014</v>
      </c>
      <c r="DK1118" s="146"/>
      <c r="DL1118" s="146"/>
      <c r="DM1118" s="146"/>
      <c r="EA1118" s="147"/>
      <c r="EJ1118" s="148"/>
      <c r="FM1118" s="149"/>
      <c r="GC1118" s="150"/>
    </row>
    <row r="1119" spans="1:185" s="67" customFormat="1" ht="61.5" x14ac:dyDescent="0.9">
      <c r="B1119" s="115" t="s">
        <v>930</v>
      </c>
      <c r="C1119" s="115"/>
      <c r="D1119" s="122" t="s">
        <v>943</v>
      </c>
      <c r="E1119" s="122" t="s">
        <v>943</v>
      </c>
      <c r="F1119" s="122" t="s">
        <v>943</v>
      </c>
      <c r="G1119" s="122" t="s">
        <v>943</v>
      </c>
      <c r="H1119" s="122" t="s">
        <v>943</v>
      </c>
      <c r="I1119" s="123">
        <f>SUM(I1120:I1121)</f>
        <v>2640.94</v>
      </c>
      <c r="J1119" s="123">
        <f t="shared" ref="J1119:L1119" si="437">SUM(J1120:J1121)</f>
        <v>1584.6</v>
      </c>
      <c r="K1119" s="123">
        <f t="shared" si="437"/>
        <v>1443.9</v>
      </c>
      <c r="L1119" s="124">
        <f t="shared" si="437"/>
        <v>88</v>
      </c>
      <c r="M1119" s="122" t="s">
        <v>943</v>
      </c>
      <c r="N1119" s="122" t="s">
        <v>943</v>
      </c>
      <c r="O1119" s="125" t="s">
        <v>943</v>
      </c>
      <c r="P1119" s="126">
        <v>4011881.02</v>
      </c>
      <c r="Q1119" s="126">
        <f t="shared" ref="Q1119:S1119" si="438">Q1120+Q1121</f>
        <v>0</v>
      </c>
      <c r="R1119" s="126">
        <f t="shared" si="438"/>
        <v>0</v>
      </c>
      <c r="S1119" s="126">
        <f t="shared" si="438"/>
        <v>4011881.02</v>
      </c>
      <c r="T1119" s="126">
        <f t="shared" si="421"/>
        <v>1519.1110059297068</v>
      </c>
      <c r="U1119" s="126">
        <f>MAX(U1120:U1121)</f>
        <v>3661.5693266253866</v>
      </c>
    </row>
    <row r="1120" spans="1:185" s="76" customFormat="1" ht="35.25" x14ac:dyDescent="0.25">
      <c r="A1120" s="76">
        <v>1</v>
      </c>
      <c r="B1120" s="138">
        <f>SUBTOTAL(103,$A$890:A1120)</f>
        <v>187</v>
      </c>
      <c r="C1120" s="139" t="s">
        <v>169</v>
      </c>
      <c r="D1120" s="140">
        <v>1978</v>
      </c>
      <c r="E1120" s="140"/>
      <c r="F1120" s="141" t="s">
        <v>274</v>
      </c>
      <c r="G1120" s="140">
        <v>2</v>
      </c>
      <c r="H1120" s="140">
        <v>2</v>
      </c>
      <c r="I1120" s="142">
        <v>1219.74</v>
      </c>
      <c r="J1120" s="142">
        <v>712.8</v>
      </c>
      <c r="K1120" s="142">
        <v>712.8</v>
      </c>
      <c r="L1120" s="143">
        <v>41</v>
      </c>
      <c r="M1120" s="140" t="s">
        <v>272</v>
      </c>
      <c r="N1120" s="140" t="s">
        <v>276</v>
      </c>
      <c r="O1120" s="140" t="s">
        <v>1064</v>
      </c>
      <c r="P1120" s="144">
        <v>329863.09999999998</v>
      </c>
      <c r="Q1120" s="144">
        <v>0</v>
      </c>
      <c r="R1120" s="144">
        <v>0</v>
      </c>
      <c r="S1120" s="144">
        <f t="shared" ref="S1120:S1121" si="439">P1120-Q1120-R1120</f>
        <v>329863.09999999998</v>
      </c>
      <c r="T1120" s="145">
        <f t="shared" si="421"/>
        <v>270.43722432649577</v>
      </c>
      <c r="U1120" s="145">
        <v>605.74820863462708</v>
      </c>
      <c r="DK1120" s="146"/>
      <c r="DL1120" s="146"/>
      <c r="DM1120" s="146"/>
      <c r="EA1120" s="147"/>
      <c r="EJ1120" s="148"/>
      <c r="FM1120" s="149"/>
      <c r="GC1120" s="150"/>
    </row>
    <row r="1121" spans="1:185" s="76" customFormat="1" ht="35.25" x14ac:dyDescent="0.25">
      <c r="A1121" s="76">
        <v>1</v>
      </c>
      <c r="B1121" s="138">
        <f>SUBTOTAL(103,$A$890:A1121)</f>
        <v>188</v>
      </c>
      <c r="C1121" s="139" t="s">
        <v>170</v>
      </c>
      <c r="D1121" s="140">
        <v>1989</v>
      </c>
      <c r="E1121" s="140"/>
      <c r="F1121" s="141" t="s">
        <v>274</v>
      </c>
      <c r="G1121" s="140">
        <v>2</v>
      </c>
      <c r="H1121" s="140">
        <v>3</v>
      </c>
      <c r="I1121" s="142">
        <v>1421.2</v>
      </c>
      <c r="J1121" s="142">
        <v>871.8</v>
      </c>
      <c r="K1121" s="142">
        <v>731.1</v>
      </c>
      <c r="L1121" s="143">
        <v>47</v>
      </c>
      <c r="M1121" s="140" t="s">
        <v>272</v>
      </c>
      <c r="N1121" s="140" t="s">
        <v>276</v>
      </c>
      <c r="O1121" s="140" t="s">
        <v>1064</v>
      </c>
      <c r="P1121" s="144">
        <v>3682017.92</v>
      </c>
      <c r="Q1121" s="144">
        <v>0</v>
      </c>
      <c r="R1121" s="144">
        <v>0</v>
      </c>
      <c r="S1121" s="144">
        <f t="shared" si="439"/>
        <v>3682017.92</v>
      </c>
      <c r="T1121" s="145">
        <f t="shared" si="421"/>
        <v>2590.7809738249366</v>
      </c>
      <c r="U1121" s="145">
        <v>3661.5693266253866</v>
      </c>
      <c r="DK1121" s="146"/>
      <c r="DL1121" s="146"/>
      <c r="DM1121" s="146"/>
      <c r="EA1121" s="147"/>
      <c r="EJ1121" s="148"/>
      <c r="FM1121" s="149"/>
      <c r="GC1121" s="150"/>
    </row>
    <row r="1122" spans="1:185" s="67" customFormat="1" ht="61.5" x14ac:dyDescent="0.9">
      <c r="B1122" s="115" t="s">
        <v>903</v>
      </c>
      <c r="C1122" s="115"/>
      <c r="D1122" s="122" t="s">
        <v>943</v>
      </c>
      <c r="E1122" s="122" t="s">
        <v>943</v>
      </c>
      <c r="F1122" s="122" t="s">
        <v>943</v>
      </c>
      <c r="G1122" s="122" t="s">
        <v>943</v>
      </c>
      <c r="H1122" s="122" t="s">
        <v>943</v>
      </c>
      <c r="I1122" s="123">
        <f>I1123+I1124</f>
        <v>4173.3999999999996</v>
      </c>
      <c r="J1122" s="123">
        <f t="shared" ref="J1122:L1122" si="440">J1123+J1124</f>
        <v>3874.5</v>
      </c>
      <c r="K1122" s="123">
        <f t="shared" si="440"/>
        <v>3773.7999999999997</v>
      </c>
      <c r="L1122" s="124">
        <f t="shared" si="440"/>
        <v>171</v>
      </c>
      <c r="M1122" s="122" t="s">
        <v>943</v>
      </c>
      <c r="N1122" s="122" t="s">
        <v>943</v>
      </c>
      <c r="O1122" s="125" t="s">
        <v>943</v>
      </c>
      <c r="P1122" s="126">
        <v>6026117.5699999994</v>
      </c>
      <c r="Q1122" s="126">
        <f t="shared" ref="Q1122:S1122" si="441">Q1123+Q1124</f>
        <v>0</v>
      </c>
      <c r="R1122" s="126">
        <f t="shared" si="441"/>
        <v>0</v>
      </c>
      <c r="S1122" s="126">
        <f t="shared" si="441"/>
        <v>6026117.5699999994</v>
      </c>
      <c r="T1122" s="126">
        <f t="shared" si="421"/>
        <v>1443.9348181338955</v>
      </c>
      <c r="U1122" s="126">
        <f>MAX(U1123:U1124)</f>
        <v>6944.7724358450942</v>
      </c>
    </row>
    <row r="1123" spans="1:185" s="76" customFormat="1" ht="35.25" x14ac:dyDescent="0.25">
      <c r="A1123" s="76">
        <v>1</v>
      </c>
      <c r="B1123" s="138">
        <f>SUBTOTAL(103,$A$890:A1123)</f>
        <v>189</v>
      </c>
      <c r="C1123" s="139" t="s">
        <v>168</v>
      </c>
      <c r="D1123" s="140">
        <v>1971</v>
      </c>
      <c r="E1123" s="140"/>
      <c r="F1123" s="141" t="s">
        <v>295</v>
      </c>
      <c r="G1123" s="140">
        <v>5</v>
      </c>
      <c r="H1123" s="140">
        <v>4</v>
      </c>
      <c r="I1123" s="142">
        <v>3868.7</v>
      </c>
      <c r="J1123" s="142">
        <v>3593.8</v>
      </c>
      <c r="K1123" s="142">
        <v>3493.1</v>
      </c>
      <c r="L1123" s="143">
        <v>160</v>
      </c>
      <c r="M1123" s="140" t="s">
        <v>272</v>
      </c>
      <c r="N1123" s="140" t="s">
        <v>305</v>
      </c>
      <c r="O1123" s="140" t="s">
        <v>306</v>
      </c>
      <c r="P1123" s="144">
        <v>4388776.2699999996</v>
      </c>
      <c r="Q1123" s="144">
        <v>0</v>
      </c>
      <c r="R1123" s="144">
        <v>0</v>
      </c>
      <c r="S1123" s="144">
        <f t="shared" ref="S1123:S1124" si="442">P1123-Q1123-R1123</f>
        <v>4388776.2699999996</v>
      </c>
      <c r="T1123" s="145">
        <f t="shared" si="421"/>
        <v>1134.4317910409181</v>
      </c>
      <c r="U1123" s="145">
        <v>1532.2831669553079</v>
      </c>
      <c r="DK1123" s="146"/>
      <c r="DL1123" s="146"/>
      <c r="DM1123" s="146"/>
      <c r="EA1123" s="147"/>
      <c r="EJ1123" s="148"/>
      <c r="FM1123" s="149"/>
      <c r="GC1123" s="150"/>
    </row>
    <row r="1124" spans="1:185" s="76" customFormat="1" ht="35.25" x14ac:dyDescent="0.25">
      <c r="A1124" s="76">
        <v>1</v>
      </c>
      <c r="B1124" s="138">
        <f>SUBTOTAL(103,$A$890:A1124)</f>
        <v>190</v>
      </c>
      <c r="C1124" s="139" t="s">
        <v>167</v>
      </c>
      <c r="D1124" s="140">
        <v>1964</v>
      </c>
      <c r="E1124" s="140"/>
      <c r="F1124" s="141" t="s">
        <v>274</v>
      </c>
      <c r="G1124" s="140">
        <v>2</v>
      </c>
      <c r="H1124" s="140">
        <v>1</v>
      </c>
      <c r="I1124" s="142">
        <v>304.7</v>
      </c>
      <c r="J1124" s="142">
        <v>280.7</v>
      </c>
      <c r="K1124" s="142">
        <v>280.7</v>
      </c>
      <c r="L1124" s="143">
        <v>11</v>
      </c>
      <c r="M1124" s="140" t="s">
        <v>272</v>
      </c>
      <c r="N1124" s="140" t="s">
        <v>276</v>
      </c>
      <c r="O1124" s="140" t="s">
        <v>297</v>
      </c>
      <c r="P1124" s="144">
        <v>1637341.3</v>
      </c>
      <c r="Q1124" s="144">
        <v>0</v>
      </c>
      <c r="R1124" s="144">
        <v>0</v>
      </c>
      <c r="S1124" s="144">
        <f t="shared" si="442"/>
        <v>1637341.3</v>
      </c>
      <c r="T1124" s="145">
        <f t="shared" si="421"/>
        <v>5373.6176567115199</v>
      </c>
      <c r="U1124" s="145">
        <v>6944.7724358450942</v>
      </c>
      <c r="DK1124" s="146"/>
      <c r="DL1124" s="146"/>
      <c r="DM1124" s="146"/>
      <c r="EA1124" s="147"/>
      <c r="EJ1124" s="148"/>
      <c r="FM1124" s="149"/>
      <c r="GC1124" s="150"/>
    </row>
    <row r="1125" spans="1:185" s="67" customFormat="1" ht="61.5" x14ac:dyDescent="0.9">
      <c r="B1125" s="115" t="s">
        <v>934</v>
      </c>
      <c r="C1125" s="115"/>
      <c r="D1125" s="122" t="s">
        <v>943</v>
      </c>
      <c r="E1125" s="122" t="s">
        <v>943</v>
      </c>
      <c r="F1125" s="122" t="s">
        <v>943</v>
      </c>
      <c r="G1125" s="122" t="s">
        <v>943</v>
      </c>
      <c r="H1125" s="122" t="s">
        <v>943</v>
      </c>
      <c r="I1125" s="123">
        <f>I1126+I1127+I1128</f>
        <v>13642.179999999998</v>
      </c>
      <c r="J1125" s="123">
        <f t="shared" ref="J1125:L1125" si="443">J1126+J1127+J1128</f>
        <v>4926.2000000000007</v>
      </c>
      <c r="K1125" s="123">
        <f t="shared" si="443"/>
        <v>504.30000000000007</v>
      </c>
      <c r="L1125" s="124">
        <f t="shared" si="443"/>
        <v>327</v>
      </c>
      <c r="M1125" s="122" t="s">
        <v>943</v>
      </c>
      <c r="N1125" s="122" t="s">
        <v>943</v>
      </c>
      <c r="O1125" s="125" t="s">
        <v>943</v>
      </c>
      <c r="P1125" s="126">
        <v>12459674.15</v>
      </c>
      <c r="Q1125" s="126">
        <f t="shared" ref="Q1125:S1125" si="444">Q1126+Q1127+Q1128</f>
        <v>0</v>
      </c>
      <c r="R1125" s="126">
        <f t="shared" si="444"/>
        <v>0</v>
      </c>
      <c r="S1125" s="126">
        <f t="shared" si="444"/>
        <v>12459674.15</v>
      </c>
      <c r="T1125" s="126">
        <f t="shared" si="421"/>
        <v>913.31987629543096</v>
      </c>
      <c r="U1125" s="126">
        <f>MAX(U1126:U1128)</f>
        <v>1884.4816279764125</v>
      </c>
    </row>
    <row r="1126" spans="1:185" s="76" customFormat="1" ht="35.25" x14ac:dyDescent="0.25">
      <c r="A1126" s="76">
        <v>1</v>
      </c>
      <c r="B1126" s="138">
        <f>SUBTOTAL(103,$A$890:A1126)</f>
        <v>191</v>
      </c>
      <c r="C1126" s="139" t="s">
        <v>164</v>
      </c>
      <c r="D1126" s="140">
        <v>1988</v>
      </c>
      <c r="E1126" s="140"/>
      <c r="F1126" s="141" t="s">
        <v>274</v>
      </c>
      <c r="G1126" s="140">
        <v>5</v>
      </c>
      <c r="H1126" s="140">
        <v>6</v>
      </c>
      <c r="I1126" s="142">
        <v>6118.54</v>
      </c>
      <c r="J1126" s="142">
        <v>2441.1</v>
      </c>
      <c r="K1126" s="142">
        <v>202.8</v>
      </c>
      <c r="L1126" s="143">
        <v>161</v>
      </c>
      <c r="M1126" s="140" t="s">
        <v>272</v>
      </c>
      <c r="N1126" s="140" t="s">
        <v>276</v>
      </c>
      <c r="O1126" s="140" t="s">
        <v>298</v>
      </c>
      <c r="P1126" s="144">
        <v>5095413.53</v>
      </c>
      <c r="Q1126" s="144">
        <v>0</v>
      </c>
      <c r="R1126" s="144">
        <v>0</v>
      </c>
      <c r="S1126" s="144">
        <f t="shared" ref="S1126:S1128" si="445">P1126-Q1126-R1126</f>
        <v>5095413.53</v>
      </c>
      <c r="T1126" s="145">
        <f t="shared" si="421"/>
        <v>832.78258048488692</v>
      </c>
      <c r="U1126" s="145">
        <v>1408.261887688893</v>
      </c>
      <c r="DK1126" s="146"/>
      <c r="DL1126" s="146"/>
      <c r="DM1126" s="146"/>
      <c r="EA1126" s="147"/>
      <c r="EJ1126" s="148"/>
      <c r="FM1126" s="149"/>
      <c r="GC1126" s="150"/>
    </row>
    <row r="1127" spans="1:185" s="76" customFormat="1" ht="35.25" x14ac:dyDescent="0.25">
      <c r="A1127" s="76">
        <v>1</v>
      </c>
      <c r="B1127" s="138">
        <f>SUBTOTAL(103,$A$890:A1127)</f>
        <v>192</v>
      </c>
      <c r="C1127" s="139" t="s">
        <v>165</v>
      </c>
      <c r="D1127" s="140">
        <v>1985</v>
      </c>
      <c r="E1127" s="140"/>
      <c r="F1127" s="141" t="s">
        <v>274</v>
      </c>
      <c r="G1127" s="140">
        <v>5</v>
      </c>
      <c r="H1127" s="140">
        <v>4</v>
      </c>
      <c r="I1127" s="142">
        <v>4844.24</v>
      </c>
      <c r="J1127" s="142">
        <v>1720</v>
      </c>
      <c r="K1127" s="142">
        <v>192.4</v>
      </c>
      <c r="L1127" s="143">
        <v>114</v>
      </c>
      <c r="M1127" s="140" t="s">
        <v>272</v>
      </c>
      <c r="N1127" s="140" t="s">
        <v>276</v>
      </c>
      <c r="O1127" s="140" t="s">
        <v>298</v>
      </c>
      <c r="P1127" s="144">
        <v>3457309.86</v>
      </c>
      <c r="Q1127" s="144">
        <v>0</v>
      </c>
      <c r="R1127" s="144">
        <v>0</v>
      </c>
      <c r="S1127" s="144">
        <f t="shared" si="445"/>
        <v>3457309.86</v>
      </c>
      <c r="T1127" s="145">
        <f t="shared" si="421"/>
        <v>713.69499859627103</v>
      </c>
      <c r="U1127" s="145">
        <v>1206.8809890509142</v>
      </c>
      <c r="DK1127" s="146"/>
      <c r="DL1127" s="146"/>
      <c r="DM1127" s="146"/>
      <c r="EA1127" s="147"/>
      <c r="EJ1127" s="148"/>
      <c r="FM1127" s="149"/>
      <c r="GC1127" s="150"/>
    </row>
    <row r="1128" spans="1:185" s="76" customFormat="1" ht="35.25" x14ac:dyDescent="0.25">
      <c r="A1128" s="76">
        <v>1</v>
      </c>
      <c r="B1128" s="138">
        <f>SUBTOTAL(103,$A$890:A1128)</f>
        <v>193</v>
      </c>
      <c r="C1128" s="139" t="s">
        <v>166</v>
      </c>
      <c r="D1128" s="140">
        <v>1979</v>
      </c>
      <c r="E1128" s="140"/>
      <c r="F1128" s="141" t="s">
        <v>274</v>
      </c>
      <c r="G1128" s="140">
        <v>3</v>
      </c>
      <c r="H1128" s="140">
        <v>3</v>
      </c>
      <c r="I1128" s="142">
        <v>2679.4</v>
      </c>
      <c r="J1128" s="142">
        <v>765.1</v>
      </c>
      <c r="K1128" s="142">
        <v>109.1</v>
      </c>
      <c r="L1128" s="143">
        <v>52</v>
      </c>
      <c r="M1128" s="140" t="s">
        <v>272</v>
      </c>
      <c r="N1128" s="140" t="s">
        <v>276</v>
      </c>
      <c r="O1128" s="140" t="s">
        <v>302</v>
      </c>
      <c r="P1128" s="144">
        <v>3906950.76</v>
      </c>
      <c r="Q1128" s="144">
        <v>0</v>
      </c>
      <c r="R1128" s="144">
        <v>0</v>
      </c>
      <c r="S1128" s="144">
        <f t="shared" si="445"/>
        <v>3906950.76</v>
      </c>
      <c r="T1128" s="145">
        <f t="shared" si="421"/>
        <v>1458.1438978875867</v>
      </c>
      <c r="U1128" s="145">
        <v>1884.4816279764125</v>
      </c>
      <c r="DK1128" s="146"/>
      <c r="DL1128" s="146"/>
      <c r="DM1128" s="146"/>
      <c r="EA1128" s="147"/>
      <c r="EJ1128" s="148"/>
      <c r="FM1128" s="149"/>
      <c r="GC1128" s="150"/>
    </row>
    <row r="1129" spans="1:185" s="67" customFormat="1" ht="61.5" x14ac:dyDescent="0.9">
      <c r="B1129" s="115" t="s">
        <v>905</v>
      </c>
      <c r="C1129" s="115"/>
      <c r="D1129" s="122" t="s">
        <v>943</v>
      </c>
      <c r="E1129" s="122" t="s">
        <v>943</v>
      </c>
      <c r="F1129" s="122" t="s">
        <v>943</v>
      </c>
      <c r="G1129" s="122" t="s">
        <v>943</v>
      </c>
      <c r="H1129" s="122" t="s">
        <v>943</v>
      </c>
      <c r="I1129" s="123">
        <f>SUM(I1130:I1133)</f>
        <v>13231.8</v>
      </c>
      <c r="J1129" s="123">
        <f t="shared" ref="J1129:L1129" si="446">SUM(J1130:J1133)</f>
        <v>7845</v>
      </c>
      <c r="K1129" s="123">
        <f t="shared" si="446"/>
        <v>7498.9</v>
      </c>
      <c r="L1129" s="124">
        <f t="shared" si="446"/>
        <v>565</v>
      </c>
      <c r="M1129" s="122" t="s">
        <v>943</v>
      </c>
      <c r="N1129" s="122" t="s">
        <v>943</v>
      </c>
      <c r="O1129" s="125" t="s">
        <v>943</v>
      </c>
      <c r="P1129" s="126">
        <v>11707868.220000001</v>
      </c>
      <c r="Q1129" s="126">
        <f t="shared" ref="Q1129:S1129" si="447">Q1130+Q1131+Q1132+Q1133</f>
        <v>0</v>
      </c>
      <c r="R1129" s="126">
        <f t="shared" si="447"/>
        <v>0</v>
      </c>
      <c r="S1129" s="126">
        <f t="shared" si="447"/>
        <v>11707868.220000001</v>
      </c>
      <c r="T1129" s="126">
        <f t="shared" si="421"/>
        <v>884.82808234707306</v>
      </c>
      <c r="U1129" s="126">
        <f>MAX(U1130:U1133)</f>
        <v>3217.0308722447144</v>
      </c>
    </row>
    <row r="1130" spans="1:185" s="76" customFormat="1" ht="35.25" x14ac:dyDescent="0.25">
      <c r="A1130" s="76">
        <v>1</v>
      </c>
      <c r="B1130" s="138">
        <f>SUBTOTAL(103,$A$890:A1130)</f>
        <v>194</v>
      </c>
      <c r="C1130" s="139" t="s">
        <v>159</v>
      </c>
      <c r="D1130" s="140">
        <v>1971</v>
      </c>
      <c r="E1130" s="140"/>
      <c r="F1130" s="141" t="s">
        <v>274</v>
      </c>
      <c r="G1130" s="140">
        <v>5</v>
      </c>
      <c r="H1130" s="140">
        <v>4</v>
      </c>
      <c r="I1130" s="142">
        <v>3186.9</v>
      </c>
      <c r="J1130" s="142">
        <v>1676</v>
      </c>
      <c r="K1130" s="142">
        <v>1676</v>
      </c>
      <c r="L1130" s="143">
        <v>169</v>
      </c>
      <c r="M1130" s="140" t="s">
        <v>272</v>
      </c>
      <c r="N1130" s="140" t="s">
        <v>307</v>
      </c>
      <c r="O1130" s="140" t="s">
        <v>308</v>
      </c>
      <c r="P1130" s="144">
        <v>2147269.5</v>
      </c>
      <c r="Q1130" s="144">
        <v>0</v>
      </c>
      <c r="R1130" s="144">
        <v>0</v>
      </c>
      <c r="S1130" s="144">
        <f t="shared" ref="S1130:S1133" si="448">P1130-Q1130-R1130</f>
        <v>2147269.5</v>
      </c>
      <c r="T1130" s="145">
        <f t="shared" si="421"/>
        <v>673.78000564812203</v>
      </c>
      <c r="U1130" s="145">
        <v>673.78</v>
      </c>
      <c r="DK1130" s="146"/>
      <c r="DL1130" s="146"/>
      <c r="DM1130" s="146"/>
      <c r="EA1130" s="147"/>
      <c r="EJ1130" s="148"/>
      <c r="FM1130" s="149"/>
      <c r="GC1130" s="150"/>
    </row>
    <row r="1131" spans="1:185" s="76" customFormat="1" ht="35.25" x14ac:dyDescent="0.25">
      <c r="A1131" s="76">
        <v>1</v>
      </c>
      <c r="B1131" s="138">
        <f>SUBTOTAL(103,$A$890:A1131)</f>
        <v>195</v>
      </c>
      <c r="C1131" s="139" t="s">
        <v>160</v>
      </c>
      <c r="D1131" s="140">
        <v>1971</v>
      </c>
      <c r="E1131" s="140"/>
      <c r="F1131" s="141" t="s">
        <v>274</v>
      </c>
      <c r="G1131" s="140">
        <v>5</v>
      </c>
      <c r="H1131" s="140">
        <v>3</v>
      </c>
      <c r="I1131" s="142">
        <v>3186.9</v>
      </c>
      <c r="J1131" s="142">
        <v>1676</v>
      </c>
      <c r="K1131" s="142">
        <v>1676</v>
      </c>
      <c r="L1131" s="143">
        <v>175</v>
      </c>
      <c r="M1131" s="140" t="s">
        <v>272</v>
      </c>
      <c r="N1131" s="140" t="s">
        <v>307</v>
      </c>
      <c r="O1131" s="140" t="s">
        <v>309</v>
      </c>
      <c r="P1131" s="144">
        <v>491428.7</v>
      </c>
      <c r="Q1131" s="144">
        <v>0</v>
      </c>
      <c r="R1131" s="144">
        <v>0</v>
      </c>
      <c r="S1131" s="144">
        <f t="shared" si="448"/>
        <v>491428.7</v>
      </c>
      <c r="T1131" s="145">
        <f t="shared" si="421"/>
        <v>154.20273620132417</v>
      </c>
      <c r="U1131" s="145">
        <v>392.66207286077378</v>
      </c>
      <c r="DK1131" s="146"/>
      <c r="DL1131" s="146"/>
      <c r="DM1131" s="146"/>
      <c r="EA1131" s="147"/>
      <c r="EJ1131" s="148"/>
      <c r="FM1131" s="149"/>
      <c r="GC1131" s="150"/>
    </row>
    <row r="1132" spans="1:185" s="76" customFormat="1" ht="35.25" x14ac:dyDescent="0.25">
      <c r="A1132" s="76">
        <v>1</v>
      </c>
      <c r="B1132" s="138">
        <f>SUBTOTAL(103,$A$890:A1132)</f>
        <v>196</v>
      </c>
      <c r="C1132" s="139" t="s">
        <v>162</v>
      </c>
      <c r="D1132" s="140">
        <v>1979</v>
      </c>
      <c r="E1132" s="140"/>
      <c r="F1132" s="141" t="s">
        <v>274</v>
      </c>
      <c r="G1132" s="140">
        <v>2</v>
      </c>
      <c r="H1132" s="140">
        <v>3</v>
      </c>
      <c r="I1132" s="142">
        <v>1556.1</v>
      </c>
      <c r="J1132" s="142">
        <v>863</v>
      </c>
      <c r="K1132" s="142">
        <v>863</v>
      </c>
      <c r="L1132" s="143">
        <v>32</v>
      </c>
      <c r="M1132" s="140" t="s">
        <v>272</v>
      </c>
      <c r="N1132" s="140" t="s">
        <v>276</v>
      </c>
      <c r="O1132" s="140" t="s">
        <v>302</v>
      </c>
      <c r="P1132" s="144">
        <v>3873479.02</v>
      </c>
      <c r="Q1132" s="144">
        <v>0</v>
      </c>
      <c r="R1132" s="144">
        <v>0</v>
      </c>
      <c r="S1132" s="144">
        <f t="shared" si="448"/>
        <v>3873479.02</v>
      </c>
      <c r="T1132" s="145">
        <f t="shared" si="421"/>
        <v>2489.2224278645331</v>
      </c>
      <c r="U1132" s="145">
        <v>3217.0308722447144</v>
      </c>
      <c r="DK1132" s="146"/>
      <c r="DL1132" s="146"/>
      <c r="DM1132" s="146"/>
      <c r="EA1132" s="147"/>
      <c r="EJ1132" s="148"/>
      <c r="FM1132" s="149"/>
      <c r="GC1132" s="150"/>
    </row>
    <row r="1133" spans="1:185" s="76" customFormat="1" ht="35.25" x14ac:dyDescent="0.25">
      <c r="A1133" s="76">
        <v>1</v>
      </c>
      <c r="B1133" s="138">
        <f>SUBTOTAL(103,$A$890:A1133)</f>
        <v>197</v>
      </c>
      <c r="C1133" s="139" t="s">
        <v>140</v>
      </c>
      <c r="D1133" s="140">
        <v>1990</v>
      </c>
      <c r="E1133" s="140"/>
      <c r="F1133" s="141" t="s">
        <v>274</v>
      </c>
      <c r="G1133" s="140">
        <v>5</v>
      </c>
      <c r="H1133" s="140">
        <v>5</v>
      </c>
      <c r="I1133" s="142">
        <v>5301.9</v>
      </c>
      <c r="J1133" s="142">
        <v>3630</v>
      </c>
      <c r="K1133" s="142">
        <v>3283.9</v>
      </c>
      <c r="L1133" s="143">
        <v>189</v>
      </c>
      <c r="M1133" s="140" t="s">
        <v>272</v>
      </c>
      <c r="N1133" s="140" t="s">
        <v>276</v>
      </c>
      <c r="O1133" s="140" t="s">
        <v>302</v>
      </c>
      <c r="P1133" s="144">
        <v>5195691</v>
      </c>
      <c r="Q1133" s="144">
        <v>0</v>
      </c>
      <c r="R1133" s="144">
        <v>0</v>
      </c>
      <c r="S1133" s="144">
        <f t="shared" si="448"/>
        <v>5195691</v>
      </c>
      <c r="T1133" s="145">
        <f t="shared" si="421"/>
        <v>979.96774741130548</v>
      </c>
      <c r="U1133" s="145">
        <v>1266.49449254041</v>
      </c>
      <c r="DK1133" s="146"/>
      <c r="DL1133" s="146"/>
      <c r="DM1133" s="146"/>
      <c r="EA1133" s="147"/>
      <c r="EJ1133" s="148"/>
      <c r="FM1133" s="149"/>
      <c r="GC1133" s="150"/>
    </row>
    <row r="1134" spans="1:185" s="67" customFormat="1" ht="61.5" x14ac:dyDescent="0.9">
      <c r="B1134" s="115" t="s">
        <v>906</v>
      </c>
      <c r="C1134" s="119"/>
      <c r="D1134" s="122" t="s">
        <v>943</v>
      </c>
      <c r="E1134" s="122" t="s">
        <v>943</v>
      </c>
      <c r="F1134" s="122" t="s">
        <v>943</v>
      </c>
      <c r="G1134" s="122" t="s">
        <v>943</v>
      </c>
      <c r="H1134" s="122" t="s">
        <v>943</v>
      </c>
      <c r="I1134" s="123">
        <f>SUM(I1135:I1136)</f>
        <v>5101.2</v>
      </c>
      <c r="J1134" s="123">
        <f t="shared" ref="J1134:L1134" si="449">SUM(J1135:J1136)</f>
        <v>4560.8999999999996</v>
      </c>
      <c r="K1134" s="123">
        <f t="shared" si="449"/>
        <v>3873.8</v>
      </c>
      <c r="L1134" s="124">
        <f t="shared" si="449"/>
        <v>164</v>
      </c>
      <c r="M1134" s="122" t="s">
        <v>943</v>
      </c>
      <c r="N1134" s="122" t="s">
        <v>943</v>
      </c>
      <c r="O1134" s="125" t="s">
        <v>943</v>
      </c>
      <c r="P1134" s="126">
        <v>9221698.8000000007</v>
      </c>
      <c r="Q1134" s="126">
        <f t="shared" ref="Q1134:S1134" si="450">Q1135+Q1136</f>
        <v>0</v>
      </c>
      <c r="R1134" s="126">
        <f t="shared" si="450"/>
        <v>0</v>
      </c>
      <c r="S1134" s="126">
        <f t="shared" si="450"/>
        <v>9221698.8000000007</v>
      </c>
      <c r="T1134" s="126">
        <f t="shared" si="421"/>
        <v>1807.7508821453778</v>
      </c>
      <c r="U1134" s="126">
        <f>MAX(U1135:U1136)</f>
        <v>3267.479271318768</v>
      </c>
    </row>
    <row r="1135" spans="1:185" s="76" customFormat="1" ht="35.25" x14ac:dyDescent="0.25">
      <c r="A1135" s="76">
        <v>1</v>
      </c>
      <c r="B1135" s="138">
        <f>SUBTOTAL(103,$A$890:A1135)</f>
        <v>198</v>
      </c>
      <c r="C1135" s="139" t="s">
        <v>102</v>
      </c>
      <c r="D1135" s="140">
        <v>1985</v>
      </c>
      <c r="E1135" s="140"/>
      <c r="F1135" s="141" t="s">
        <v>274</v>
      </c>
      <c r="G1135" s="140">
        <v>3</v>
      </c>
      <c r="H1135" s="140">
        <v>3</v>
      </c>
      <c r="I1135" s="142">
        <v>1652.3</v>
      </c>
      <c r="J1135" s="142">
        <v>1350.8</v>
      </c>
      <c r="K1135" s="142">
        <v>1350.8</v>
      </c>
      <c r="L1135" s="143">
        <v>61</v>
      </c>
      <c r="M1135" s="140" t="s">
        <v>272</v>
      </c>
      <c r="N1135" s="140" t="s">
        <v>276</v>
      </c>
      <c r="O1135" s="140" t="s">
        <v>290</v>
      </c>
      <c r="P1135" s="144">
        <v>4177440</v>
      </c>
      <c r="Q1135" s="144">
        <v>0</v>
      </c>
      <c r="R1135" s="144">
        <v>0</v>
      </c>
      <c r="S1135" s="144">
        <f t="shared" ref="S1135:S1136" si="451">P1135-Q1135-R1135</f>
        <v>4177440</v>
      </c>
      <c r="T1135" s="145">
        <f t="shared" si="421"/>
        <v>2528.257580342553</v>
      </c>
      <c r="U1135" s="145">
        <v>3267.479271318768</v>
      </c>
      <c r="DK1135" s="146"/>
      <c r="DL1135" s="146"/>
      <c r="DM1135" s="146"/>
      <c r="EA1135" s="147"/>
      <c r="EJ1135" s="148"/>
      <c r="FM1135" s="149"/>
      <c r="GC1135" s="150"/>
    </row>
    <row r="1136" spans="1:185" s="76" customFormat="1" ht="35.25" x14ac:dyDescent="0.25">
      <c r="A1136" s="76">
        <v>1</v>
      </c>
      <c r="B1136" s="138">
        <f>SUBTOTAL(103,$A$890:A1136)</f>
        <v>199</v>
      </c>
      <c r="C1136" s="139" t="s">
        <v>103</v>
      </c>
      <c r="D1136" s="140">
        <v>1972</v>
      </c>
      <c r="E1136" s="140"/>
      <c r="F1136" s="141" t="s">
        <v>274</v>
      </c>
      <c r="G1136" s="140">
        <v>5</v>
      </c>
      <c r="H1136" s="140">
        <v>4</v>
      </c>
      <c r="I1136" s="142">
        <v>3448.9</v>
      </c>
      <c r="J1136" s="142">
        <v>3210.1</v>
      </c>
      <c r="K1136" s="142">
        <v>2523</v>
      </c>
      <c r="L1136" s="143">
        <v>103</v>
      </c>
      <c r="M1136" s="140" t="s">
        <v>272</v>
      </c>
      <c r="N1136" s="140" t="s">
        <v>276</v>
      </c>
      <c r="O1136" s="140" t="s">
        <v>288</v>
      </c>
      <c r="P1136" s="144">
        <v>5044258.8</v>
      </c>
      <c r="Q1136" s="144">
        <v>0</v>
      </c>
      <c r="R1136" s="144">
        <v>0</v>
      </c>
      <c r="S1136" s="144">
        <f t="shared" si="451"/>
        <v>5044258.8</v>
      </c>
      <c r="T1136" s="145">
        <f t="shared" si="421"/>
        <v>1462.5703267708543</v>
      </c>
      <c r="U1136" s="145">
        <v>1890.2022731885529</v>
      </c>
      <c r="DK1136" s="146"/>
      <c r="DL1136" s="146"/>
      <c r="DM1136" s="146"/>
      <c r="EA1136" s="147"/>
      <c r="EJ1136" s="148"/>
      <c r="FM1136" s="149"/>
      <c r="GC1136" s="150"/>
    </row>
    <row r="1137" spans="1:185" s="67" customFormat="1" ht="61.5" x14ac:dyDescent="0.9">
      <c r="B1137" s="115" t="s">
        <v>933</v>
      </c>
      <c r="C1137" s="115"/>
      <c r="D1137" s="122" t="s">
        <v>943</v>
      </c>
      <c r="E1137" s="122" t="s">
        <v>943</v>
      </c>
      <c r="F1137" s="122" t="s">
        <v>943</v>
      </c>
      <c r="G1137" s="122" t="s">
        <v>943</v>
      </c>
      <c r="H1137" s="122" t="s">
        <v>943</v>
      </c>
      <c r="I1137" s="123">
        <f>I1138</f>
        <v>783.81</v>
      </c>
      <c r="J1137" s="123">
        <f t="shared" ref="J1137:L1137" si="452">J1138</f>
        <v>668.19</v>
      </c>
      <c r="K1137" s="123">
        <f t="shared" si="452"/>
        <v>668.19</v>
      </c>
      <c r="L1137" s="124">
        <f t="shared" si="452"/>
        <v>28</v>
      </c>
      <c r="M1137" s="122" t="s">
        <v>943</v>
      </c>
      <c r="N1137" s="122" t="s">
        <v>943</v>
      </c>
      <c r="O1137" s="125" t="s">
        <v>943</v>
      </c>
      <c r="P1137" s="126">
        <v>3623929.1999999997</v>
      </c>
      <c r="Q1137" s="126">
        <f t="shared" ref="Q1137:S1137" si="453">Q1138</f>
        <v>0</v>
      </c>
      <c r="R1137" s="126">
        <f t="shared" si="453"/>
        <v>0</v>
      </c>
      <c r="S1137" s="126">
        <f t="shared" si="453"/>
        <v>3623929.1999999997</v>
      </c>
      <c r="T1137" s="126">
        <f t="shared" si="421"/>
        <v>4623.4791594901826</v>
      </c>
      <c r="U1137" s="126">
        <f>MAX(U1138)</f>
        <v>5975.3098072236899</v>
      </c>
    </row>
    <row r="1138" spans="1:185" s="76" customFormat="1" ht="35.25" x14ac:dyDescent="0.25">
      <c r="A1138" s="76">
        <v>1</v>
      </c>
      <c r="B1138" s="138">
        <f>SUBTOTAL(103,$A$890:A1138)</f>
        <v>200</v>
      </c>
      <c r="C1138" s="139" t="s">
        <v>107</v>
      </c>
      <c r="D1138" s="140">
        <v>1968</v>
      </c>
      <c r="E1138" s="140"/>
      <c r="F1138" s="141" t="s">
        <v>274</v>
      </c>
      <c r="G1138" s="140">
        <v>2</v>
      </c>
      <c r="H1138" s="140">
        <v>2</v>
      </c>
      <c r="I1138" s="142">
        <v>783.81</v>
      </c>
      <c r="J1138" s="142">
        <v>668.19</v>
      </c>
      <c r="K1138" s="142">
        <v>668.19</v>
      </c>
      <c r="L1138" s="143">
        <v>28</v>
      </c>
      <c r="M1138" s="140" t="s">
        <v>272</v>
      </c>
      <c r="N1138" s="140" t="s">
        <v>276</v>
      </c>
      <c r="O1138" s="140" t="s">
        <v>290</v>
      </c>
      <c r="P1138" s="144">
        <v>3623929.1999999997</v>
      </c>
      <c r="Q1138" s="144">
        <v>0</v>
      </c>
      <c r="R1138" s="144">
        <v>0</v>
      </c>
      <c r="S1138" s="144">
        <f>P1138-Q1138-R1138</f>
        <v>3623929.1999999997</v>
      </c>
      <c r="T1138" s="145">
        <f t="shared" si="421"/>
        <v>4623.4791594901826</v>
      </c>
      <c r="U1138" s="145">
        <v>5975.3098072236899</v>
      </c>
      <c r="DK1138" s="146"/>
      <c r="DL1138" s="146"/>
      <c r="DM1138" s="146"/>
      <c r="EA1138" s="147"/>
      <c r="EJ1138" s="148"/>
      <c r="FM1138" s="149"/>
      <c r="GC1138" s="150"/>
    </row>
    <row r="1139" spans="1:185" s="67" customFormat="1" ht="61.5" x14ac:dyDescent="0.9">
      <c r="B1139" s="115" t="s">
        <v>907</v>
      </c>
      <c r="C1139" s="115"/>
      <c r="D1139" s="122" t="s">
        <v>943</v>
      </c>
      <c r="E1139" s="122" t="s">
        <v>943</v>
      </c>
      <c r="F1139" s="122" t="s">
        <v>943</v>
      </c>
      <c r="G1139" s="122" t="s">
        <v>943</v>
      </c>
      <c r="H1139" s="122" t="s">
        <v>943</v>
      </c>
      <c r="I1139" s="123">
        <f>I1140</f>
        <v>680.2</v>
      </c>
      <c r="J1139" s="123">
        <f t="shared" ref="J1139:L1139" si="454">J1140</f>
        <v>617.70000000000005</v>
      </c>
      <c r="K1139" s="123">
        <f t="shared" si="454"/>
        <v>617.70000000000005</v>
      </c>
      <c r="L1139" s="124">
        <f t="shared" si="454"/>
        <v>32</v>
      </c>
      <c r="M1139" s="122" t="s">
        <v>943</v>
      </c>
      <c r="N1139" s="122" t="s">
        <v>943</v>
      </c>
      <c r="O1139" s="125" t="s">
        <v>943</v>
      </c>
      <c r="P1139" s="126">
        <v>3080862</v>
      </c>
      <c r="Q1139" s="126">
        <f t="shared" ref="Q1139:S1139" si="455">Q1140</f>
        <v>0</v>
      </c>
      <c r="R1139" s="126">
        <f t="shared" si="455"/>
        <v>0</v>
      </c>
      <c r="S1139" s="126">
        <f t="shared" si="455"/>
        <v>3080862</v>
      </c>
      <c r="T1139" s="126">
        <f t="shared" si="421"/>
        <v>4529.3472508085852</v>
      </c>
      <c r="U1139" s="126">
        <f>MAX(U1140)</f>
        <v>5853.6552484563354</v>
      </c>
    </row>
    <row r="1140" spans="1:185" s="76" customFormat="1" ht="35.25" x14ac:dyDescent="0.25">
      <c r="A1140" s="76">
        <v>1</v>
      </c>
      <c r="B1140" s="138">
        <f>SUBTOTAL(103,$A$890:A1140)</f>
        <v>201</v>
      </c>
      <c r="C1140" s="139" t="s">
        <v>104</v>
      </c>
      <c r="D1140" s="140">
        <v>1961</v>
      </c>
      <c r="E1140" s="140"/>
      <c r="F1140" s="141" t="s">
        <v>274</v>
      </c>
      <c r="G1140" s="140">
        <v>2</v>
      </c>
      <c r="H1140" s="140">
        <v>2</v>
      </c>
      <c r="I1140" s="142">
        <v>680.2</v>
      </c>
      <c r="J1140" s="142">
        <v>617.70000000000005</v>
      </c>
      <c r="K1140" s="142">
        <v>617.70000000000005</v>
      </c>
      <c r="L1140" s="143">
        <v>32</v>
      </c>
      <c r="M1140" s="140" t="s">
        <v>272</v>
      </c>
      <c r="N1140" s="140" t="s">
        <v>276</v>
      </c>
      <c r="O1140" s="140" t="s">
        <v>1065</v>
      </c>
      <c r="P1140" s="144">
        <v>3080862</v>
      </c>
      <c r="Q1140" s="144">
        <v>0</v>
      </c>
      <c r="R1140" s="144">
        <v>0</v>
      </c>
      <c r="S1140" s="144">
        <f>P1140-Q1140-R1140</f>
        <v>3080862</v>
      </c>
      <c r="T1140" s="145">
        <f t="shared" si="421"/>
        <v>4529.3472508085852</v>
      </c>
      <c r="U1140" s="145">
        <v>5853.6552484563354</v>
      </c>
      <c r="DK1140" s="146"/>
      <c r="DL1140" s="146"/>
      <c r="DM1140" s="146"/>
      <c r="EA1140" s="147"/>
      <c r="EJ1140" s="148"/>
      <c r="FM1140" s="149"/>
      <c r="GC1140" s="150"/>
    </row>
    <row r="1141" spans="1:185" s="67" customFormat="1" ht="61.5" x14ac:dyDescent="0.9">
      <c r="B1141" s="115" t="s">
        <v>908</v>
      </c>
      <c r="C1141" s="115"/>
      <c r="D1141" s="122" t="s">
        <v>943</v>
      </c>
      <c r="E1141" s="122" t="s">
        <v>943</v>
      </c>
      <c r="F1141" s="122" t="s">
        <v>943</v>
      </c>
      <c r="G1141" s="122" t="s">
        <v>943</v>
      </c>
      <c r="H1141" s="122" t="s">
        <v>943</v>
      </c>
      <c r="I1141" s="123">
        <f>SUM(I1142:I1143)</f>
        <v>646.4</v>
      </c>
      <c r="J1141" s="123">
        <f t="shared" ref="J1141:L1141" si="456">SUM(J1142:J1143)</f>
        <v>546.1</v>
      </c>
      <c r="K1141" s="123">
        <f t="shared" si="456"/>
        <v>546.1</v>
      </c>
      <c r="L1141" s="124">
        <f t="shared" si="456"/>
        <v>28</v>
      </c>
      <c r="M1141" s="122" t="s">
        <v>943</v>
      </c>
      <c r="N1141" s="122" t="s">
        <v>943</v>
      </c>
      <c r="O1141" s="125" t="s">
        <v>943</v>
      </c>
      <c r="P1141" s="126">
        <v>2610892.59</v>
      </c>
      <c r="Q1141" s="126">
        <f t="shared" ref="Q1141:S1141" si="457">Q1142+Q1143</f>
        <v>0</v>
      </c>
      <c r="R1141" s="126">
        <f t="shared" si="457"/>
        <v>0</v>
      </c>
      <c r="S1141" s="126">
        <f t="shared" si="457"/>
        <v>2610892.59</v>
      </c>
      <c r="T1141" s="126">
        <f t="shared" si="421"/>
        <v>4039.1283879950493</v>
      </c>
      <c r="U1141" s="126">
        <f>MAX(U1142:U1143)</f>
        <v>5485.0174070417906</v>
      </c>
    </row>
    <row r="1142" spans="1:185" s="76" customFormat="1" ht="35.25" x14ac:dyDescent="0.25">
      <c r="A1142" s="76">
        <v>1</v>
      </c>
      <c r="B1142" s="138">
        <f>SUBTOTAL(103,$A$890:A1142)</f>
        <v>202</v>
      </c>
      <c r="C1142" s="139" t="s">
        <v>105</v>
      </c>
      <c r="D1142" s="140">
        <v>1966</v>
      </c>
      <c r="E1142" s="140"/>
      <c r="F1142" s="141" t="s">
        <v>274</v>
      </c>
      <c r="G1142" s="140">
        <v>2</v>
      </c>
      <c r="H1142" s="140">
        <v>1</v>
      </c>
      <c r="I1142" s="142">
        <v>342.5</v>
      </c>
      <c r="J1142" s="142">
        <v>273.8</v>
      </c>
      <c r="K1142" s="142">
        <v>273.8</v>
      </c>
      <c r="L1142" s="143">
        <v>18</v>
      </c>
      <c r="M1142" s="140" t="s">
        <v>272</v>
      </c>
      <c r="N1142" s="140" t="s">
        <v>276</v>
      </c>
      <c r="O1142" s="140" t="s">
        <v>290</v>
      </c>
      <c r="P1142" s="144">
        <v>1321115.3999999999</v>
      </c>
      <c r="Q1142" s="144">
        <v>0</v>
      </c>
      <c r="R1142" s="144">
        <v>0</v>
      </c>
      <c r="S1142" s="144">
        <f t="shared" ref="S1142:S1143" si="458">P1142-Q1142-R1142</f>
        <v>1321115.3999999999</v>
      </c>
      <c r="T1142" s="145">
        <f t="shared" si="421"/>
        <v>3857.2712408759121</v>
      </c>
      <c r="U1142" s="145">
        <v>4985.0750656934306</v>
      </c>
      <c r="DK1142" s="146"/>
      <c r="DL1142" s="146"/>
      <c r="DM1142" s="146"/>
      <c r="EA1142" s="147"/>
      <c r="EJ1142" s="148"/>
      <c r="FM1142" s="149"/>
      <c r="GC1142" s="150"/>
    </row>
    <row r="1143" spans="1:185" s="76" customFormat="1" ht="35.25" x14ac:dyDescent="0.25">
      <c r="A1143" s="76">
        <v>1</v>
      </c>
      <c r="B1143" s="138">
        <f>SUBTOTAL(103,$A$890:A1143)</f>
        <v>203</v>
      </c>
      <c r="C1143" s="139" t="s">
        <v>106</v>
      </c>
      <c r="D1143" s="140">
        <v>1970</v>
      </c>
      <c r="E1143" s="140"/>
      <c r="F1143" s="141" t="s">
        <v>274</v>
      </c>
      <c r="G1143" s="140">
        <v>2</v>
      </c>
      <c r="H1143" s="140">
        <v>1</v>
      </c>
      <c r="I1143" s="142">
        <v>303.89999999999998</v>
      </c>
      <c r="J1143" s="142">
        <v>272.3</v>
      </c>
      <c r="K1143" s="142">
        <v>272.3</v>
      </c>
      <c r="L1143" s="143">
        <v>10</v>
      </c>
      <c r="M1143" s="140" t="s">
        <v>272</v>
      </c>
      <c r="N1143" s="140" t="s">
        <v>276</v>
      </c>
      <c r="O1143" s="140" t="s">
        <v>290</v>
      </c>
      <c r="P1143" s="144">
        <v>1289777.1900000002</v>
      </c>
      <c r="Q1143" s="144">
        <v>0</v>
      </c>
      <c r="R1143" s="144">
        <v>0</v>
      </c>
      <c r="S1143" s="144">
        <f t="shared" si="458"/>
        <v>1289777.1900000002</v>
      </c>
      <c r="T1143" s="145">
        <f t="shared" si="421"/>
        <v>4244.0842053307015</v>
      </c>
      <c r="U1143" s="145">
        <v>5485.0174070417906</v>
      </c>
      <c r="DK1143" s="146"/>
      <c r="DL1143" s="146"/>
      <c r="DM1143" s="146"/>
      <c r="EA1143" s="147"/>
      <c r="EJ1143" s="148"/>
      <c r="FM1143" s="149"/>
      <c r="GC1143" s="150"/>
    </row>
    <row r="1144" spans="1:185" s="67" customFormat="1" ht="61.5" x14ac:dyDescent="0.9">
      <c r="B1144" s="115" t="s">
        <v>910</v>
      </c>
      <c r="C1144" s="119"/>
      <c r="D1144" s="122" t="s">
        <v>943</v>
      </c>
      <c r="E1144" s="122" t="s">
        <v>943</v>
      </c>
      <c r="F1144" s="122" t="s">
        <v>943</v>
      </c>
      <c r="G1144" s="122" t="s">
        <v>943</v>
      </c>
      <c r="H1144" s="122" t="s">
        <v>943</v>
      </c>
      <c r="I1144" s="123">
        <f>SUM(I1145:I1147)</f>
        <v>2009.6000000000001</v>
      </c>
      <c r="J1144" s="123">
        <f t="shared" ref="J1144:L1144" si="459">SUM(J1145:J1147)</f>
        <v>1550.3999999999999</v>
      </c>
      <c r="K1144" s="123">
        <f t="shared" si="459"/>
        <v>1491.6</v>
      </c>
      <c r="L1144" s="124">
        <f t="shared" si="459"/>
        <v>77</v>
      </c>
      <c r="M1144" s="122" t="s">
        <v>943</v>
      </c>
      <c r="N1144" s="122" t="s">
        <v>943</v>
      </c>
      <c r="O1144" s="125" t="s">
        <v>943</v>
      </c>
      <c r="P1144" s="126">
        <v>6332416.4000000004</v>
      </c>
      <c r="Q1144" s="126">
        <f t="shared" ref="Q1144:S1144" si="460">Q1145+Q1146+Q1147</f>
        <v>0</v>
      </c>
      <c r="R1144" s="126">
        <f t="shared" si="460"/>
        <v>0</v>
      </c>
      <c r="S1144" s="126">
        <f t="shared" si="460"/>
        <v>6332416.4000000004</v>
      </c>
      <c r="T1144" s="126">
        <f t="shared" si="421"/>
        <v>3151.0830015923566</v>
      </c>
      <c r="U1144" s="126">
        <f>MAX(U1145:U1147)</f>
        <v>6468.7906845181978</v>
      </c>
    </row>
    <row r="1145" spans="1:185" s="76" customFormat="1" ht="35.25" x14ac:dyDescent="0.25">
      <c r="A1145" s="76">
        <v>1</v>
      </c>
      <c r="B1145" s="138">
        <f>SUBTOTAL(103,$A$890:A1145)</f>
        <v>204</v>
      </c>
      <c r="C1145" s="139" t="s">
        <v>199</v>
      </c>
      <c r="D1145" s="140" t="s">
        <v>323</v>
      </c>
      <c r="E1145" s="140"/>
      <c r="F1145" s="141" t="s">
        <v>274</v>
      </c>
      <c r="G1145" s="140" t="s">
        <v>313</v>
      </c>
      <c r="H1145" s="140" t="s">
        <v>313</v>
      </c>
      <c r="I1145" s="142">
        <v>945.6</v>
      </c>
      <c r="J1145" s="142">
        <v>572.29999999999995</v>
      </c>
      <c r="K1145" s="142">
        <v>513.5</v>
      </c>
      <c r="L1145" s="143">
        <v>21</v>
      </c>
      <c r="M1145" s="140" t="s">
        <v>272</v>
      </c>
      <c r="N1145" s="140" t="s">
        <v>273</v>
      </c>
      <c r="O1145" s="140" t="s">
        <v>275</v>
      </c>
      <c r="P1145" s="144">
        <v>3549600</v>
      </c>
      <c r="Q1145" s="144">
        <v>0</v>
      </c>
      <c r="R1145" s="144">
        <v>0</v>
      </c>
      <c r="S1145" s="144">
        <f t="shared" ref="S1145:S1147" si="461">P1145-Q1145-R1145</f>
        <v>3549600</v>
      </c>
      <c r="T1145" s="145">
        <f t="shared" si="421"/>
        <v>3753.8071065989848</v>
      </c>
      <c r="U1145" s="145">
        <v>4967.2215736040607</v>
      </c>
      <c r="DK1145" s="146"/>
      <c r="DL1145" s="146"/>
      <c r="DM1145" s="146"/>
      <c r="EA1145" s="147"/>
      <c r="EJ1145" s="148"/>
      <c r="FM1145" s="149"/>
      <c r="GC1145" s="150"/>
    </row>
    <row r="1146" spans="1:185" s="76" customFormat="1" ht="35.25" x14ac:dyDescent="0.25">
      <c r="A1146" s="76">
        <v>1</v>
      </c>
      <c r="B1146" s="138">
        <f>SUBTOTAL(103,$A$890:A1146)</f>
        <v>205</v>
      </c>
      <c r="C1146" s="139" t="s">
        <v>200</v>
      </c>
      <c r="D1146" s="140" t="s">
        <v>324</v>
      </c>
      <c r="E1146" s="140"/>
      <c r="F1146" s="141" t="s">
        <v>328</v>
      </c>
      <c r="G1146" s="140" t="s">
        <v>322</v>
      </c>
      <c r="H1146" s="140" t="s">
        <v>314</v>
      </c>
      <c r="I1146" s="142">
        <v>533.70000000000005</v>
      </c>
      <c r="J1146" s="142">
        <v>488.8</v>
      </c>
      <c r="K1146" s="142">
        <v>488.8</v>
      </c>
      <c r="L1146" s="143">
        <v>30</v>
      </c>
      <c r="M1146" s="140" t="s">
        <v>272</v>
      </c>
      <c r="N1146" s="140" t="s">
        <v>273</v>
      </c>
      <c r="O1146" s="140" t="s">
        <v>275</v>
      </c>
      <c r="P1146" s="144">
        <v>1391408.2</v>
      </c>
      <c r="Q1146" s="144">
        <v>0</v>
      </c>
      <c r="R1146" s="144">
        <v>0</v>
      </c>
      <c r="S1146" s="144">
        <f t="shared" si="461"/>
        <v>1391408.2</v>
      </c>
      <c r="T1146" s="145">
        <f t="shared" si="421"/>
        <v>2607.0979951283489</v>
      </c>
      <c r="U1146" s="145">
        <v>6427.5804759228031</v>
      </c>
      <c r="DK1146" s="146"/>
      <c r="DL1146" s="146"/>
      <c r="DM1146" s="146"/>
      <c r="EA1146" s="147"/>
      <c r="EJ1146" s="148"/>
      <c r="FM1146" s="149"/>
      <c r="GC1146" s="150"/>
    </row>
    <row r="1147" spans="1:185" s="76" customFormat="1" ht="35.25" x14ac:dyDescent="0.25">
      <c r="A1147" s="76">
        <v>1</v>
      </c>
      <c r="B1147" s="138">
        <f>SUBTOTAL(103,$A$890:A1147)</f>
        <v>206</v>
      </c>
      <c r="C1147" s="139" t="s">
        <v>201</v>
      </c>
      <c r="D1147" s="140" t="s">
        <v>325</v>
      </c>
      <c r="E1147" s="140"/>
      <c r="F1147" s="141" t="s">
        <v>328</v>
      </c>
      <c r="G1147" s="140" t="s">
        <v>322</v>
      </c>
      <c r="H1147" s="140" t="s">
        <v>314</v>
      </c>
      <c r="I1147" s="142">
        <v>530.29999999999995</v>
      </c>
      <c r="J1147" s="142">
        <v>489.3</v>
      </c>
      <c r="K1147" s="142">
        <v>489.3</v>
      </c>
      <c r="L1147" s="143">
        <v>26</v>
      </c>
      <c r="M1147" s="140" t="s">
        <v>272</v>
      </c>
      <c r="N1147" s="140" t="s">
        <v>273</v>
      </c>
      <c r="O1147" s="140" t="s">
        <v>275</v>
      </c>
      <c r="P1147" s="144">
        <v>1391408.2</v>
      </c>
      <c r="Q1147" s="144">
        <v>0</v>
      </c>
      <c r="R1147" s="144">
        <v>0</v>
      </c>
      <c r="S1147" s="144">
        <f t="shared" si="461"/>
        <v>1391408.2</v>
      </c>
      <c r="T1147" s="145">
        <f t="shared" si="421"/>
        <v>2623.8133132189328</v>
      </c>
      <c r="U1147" s="145">
        <v>6468.7906845181978</v>
      </c>
      <c r="DK1147" s="146"/>
      <c r="DL1147" s="146"/>
      <c r="DM1147" s="146"/>
      <c r="EA1147" s="147"/>
      <c r="EJ1147" s="148"/>
      <c r="FM1147" s="149"/>
      <c r="GC1147" s="150"/>
    </row>
    <row r="1148" spans="1:185" s="67" customFormat="1" ht="61.5" x14ac:dyDescent="0.9">
      <c r="B1148" s="115" t="s">
        <v>911</v>
      </c>
      <c r="C1148" s="115"/>
      <c r="D1148" s="122" t="s">
        <v>943</v>
      </c>
      <c r="E1148" s="122" t="s">
        <v>943</v>
      </c>
      <c r="F1148" s="122" t="s">
        <v>943</v>
      </c>
      <c r="G1148" s="122" t="s">
        <v>943</v>
      </c>
      <c r="H1148" s="122" t="s">
        <v>943</v>
      </c>
      <c r="I1148" s="123">
        <f>I1149</f>
        <v>814.6</v>
      </c>
      <c r="J1148" s="123">
        <f t="shared" ref="J1148:L1148" si="462">J1149</f>
        <v>814.6</v>
      </c>
      <c r="K1148" s="123">
        <f t="shared" si="462"/>
        <v>336.9</v>
      </c>
      <c r="L1148" s="124">
        <f t="shared" si="462"/>
        <v>26</v>
      </c>
      <c r="M1148" s="122" t="s">
        <v>943</v>
      </c>
      <c r="N1148" s="122" t="s">
        <v>943</v>
      </c>
      <c r="O1148" s="125" t="s">
        <v>943</v>
      </c>
      <c r="P1148" s="126">
        <v>4686244.08</v>
      </c>
      <c r="Q1148" s="126">
        <f t="shared" ref="Q1148:S1148" si="463">Q1149</f>
        <v>0</v>
      </c>
      <c r="R1148" s="126">
        <f t="shared" si="463"/>
        <v>0</v>
      </c>
      <c r="S1148" s="126">
        <f t="shared" si="463"/>
        <v>4686244.08</v>
      </c>
      <c r="T1148" s="126">
        <f t="shared" si="421"/>
        <v>5752.8162042720351</v>
      </c>
      <c r="U1148" s="126">
        <f>MAX(U1149)</f>
        <v>5964.854407070954</v>
      </c>
    </row>
    <row r="1149" spans="1:185" s="76" customFormat="1" ht="35.25" x14ac:dyDescent="0.25">
      <c r="A1149" s="76">
        <v>1</v>
      </c>
      <c r="B1149" s="138">
        <f>SUBTOTAL(103,$A$890:A1149)</f>
        <v>207</v>
      </c>
      <c r="C1149" s="139" t="s">
        <v>1475</v>
      </c>
      <c r="D1149" s="140">
        <v>1950</v>
      </c>
      <c r="E1149" s="140"/>
      <c r="F1149" s="141" t="s">
        <v>274</v>
      </c>
      <c r="G1149" s="140">
        <v>2</v>
      </c>
      <c r="H1149" s="140">
        <v>2</v>
      </c>
      <c r="I1149" s="142">
        <v>814.6</v>
      </c>
      <c r="J1149" s="142">
        <v>814.6</v>
      </c>
      <c r="K1149" s="142">
        <v>336.9</v>
      </c>
      <c r="L1149" s="143">
        <v>26</v>
      </c>
      <c r="M1149" s="140" t="s">
        <v>272</v>
      </c>
      <c r="N1149" s="140" t="s">
        <v>276</v>
      </c>
      <c r="O1149" s="140" t="s">
        <v>1395</v>
      </c>
      <c r="P1149" s="144">
        <v>4686244.08</v>
      </c>
      <c r="Q1149" s="144">
        <v>0</v>
      </c>
      <c r="R1149" s="144">
        <v>0</v>
      </c>
      <c r="S1149" s="144">
        <f>P1149-Q1149-R1149</f>
        <v>4686244.08</v>
      </c>
      <c r="T1149" s="145">
        <f t="shared" si="421"/>
        <v>5752.8162042720351</v>
      </c>
      <c r="U1149" s="145">
        <v>5964.854407070954</v>
      </c>
      <c r="DK1149" s="146"/>
      <c r="DL1149" s="146"/>
      <c r="DM1149" s="146"/>
      <c r="EA1149" s="147"/>
      <c r="EJ1149" s="148"/>
      <c r="FM1149" s="149"/>
      <c r="GC1149" s="150"/>
    </row>
    <row r="1150" spans="1:185" s="67" customFormat="1" ht="61.5" x14ac:dyDescent="0.9">
      <c r="B1150" s="115" t="s">
        <v>913</v>
      </c>
      <c r="C1150" s="115"/>
      <c r="D1150" s="122" t="s">
        <v>943</v>
      </c>
      <c r="E1150" s="122" t="s">
        <v>943</v>
      </c>
      <c r="F1150" s="122" t="s">
        <v>943</v>
      </c>
      <c r="G1150" s="122" t="s">
        <v>943</v>
      </c>
      <c r="H1150" s="122" t="s">
        <v>943</v>
      </c>
      <c r="I1150" s="123">
        <f>I1151</f>
        <v>350.9</v>
      </c>
      <c r="J1150" s="123">
        <f t="shared" ref="J1150:L1150" si="464">J1151</f>
        <v>311.89999999999998</v>
      </c>
      <c r="K1150" s="123">
        <f t="shared" si="464"/>
        <v>311.89999999999998</v>
      </c>
      <c r="L1150" s="124">
        <f t="shared" si="464"/>
        <v>18</v>
      </c>
      <c r="M1150" s="122" t="s">
        <v>943</v>
      </c>
      <c r="N1150" s="122" t="s">
        <v>943</v>
      </c>
      <c r="O1150" s="125" t="s">
        <v>943</v>
      </c>
      <c r="P1150" s="126">
        <v>3600600</v>
      </c>
      <c r="Q1150" s="126">
        <f t="shared" ref="Q1150:S1150" si="465">Q1151</f>
        <v>0</v>
      </c>
      <c r="R1150" s="126">
        <f t="shared" si="465"/>
        <v>0</v>
      </c>
      <c r="S1150" s="126">
        <f t="shared" si="465"/>
        <v>3600600</v>
      </c>
      <c r="T1150" s="126">
        <f t="shared" si="421"/>
        <v>10261.043032202908</v>
      </c>
      <c r="U1150" s="126">
        <f>MAX(U1151)</f>
        <v>13913.833074950127</v>
      </c>
    </row>
    <row r="1151" spans="1:185" s="76" customFormat="1" ht="35.25" x14ac:dyDescent="0.25">
      <c r="A1151" s="76">
        <v>1</v>
      </c>
      <c r="B1151" s="138">
        <f>SUBTOTAL(103,$A$890:A1151)</f>
        <v>208</v>
      </c>
      <c r="C1151" s="139" t="s">
        <v>845</v>
      </c>
      <c r="D1151" s="140" t="s">
        <v>325</v>
      </c>
      <c r="E1151" s="140"/>
      <c r="F1151" s="141" t="s">
        <v>274</v>
      </c>
      <c r="G1151" s="140" t="s">
        <v>313</v>
      </c>
      <c r="H1151" s="140" t="s">
        <v>314</v>
      </c>
      <c r="I1151" s="142">
        <v>350.9</v>
      </c>
      <c r="J1151" s="142">
        <v>311.89999999999998</v>
      </c>
      <c r="K1151" s="142">
        <v>311.89999999999998</v>
      </c>
      <c r="L1151" s="143">
        <v>18</v>
      </c>
      <c r="M1151" s="140" t="s">
        <v>272</v>
      </c>
      <c r="N1151" s="140" t="s">
        <v>273</v>
      </c>
      <c r="O1151" s="140" t="s">
        <v>275</v>
      </c>
      <c r="P1151" s="144">
        <v>3600600</v>
      </c>
      <c r="Q1151" s="144">
        <v>0</v>
      </c>
      <c r="R1151" s="144">
        <v>0</v>
      </c>
      <c r="S1151" s="144">
        <f>P1151-Q1151-R1151</f>
        <v>3600600</v>
      </c>
      <c r="T1151" s="145">
        <f t="shared" si="421"/>
        <v>10261.043032202908</v>
      </c>
      <c r="U1151" s="145">
        <v>13913.833074950127</v>
      </c>
      <c r="DK1151" s="146"/>
      <c r="DL1151" s="146"/>
      <c r="DM1151" s="146"/>
      <c r="EA1151" s="147"/>
      <c r="EJ1151" s="148"/>
      <c r="FM1151" s="149"/>
      <c r="GC1151" s="150"/>
    </row>
    <row r="1152" spans="1:185" s="67" customFormat="1" ht="61.5" x14ac:dyDescent="0.9">
      <c r="B1152" s="115" t="s">
        <v>932</v>
      </c>
      <c r="C1152" s="115"/>
      <c r="D1152" s="122" t="s">
        <v>943</v>
      </c>
      <c r="E1152" s="122" t="s">
        <v>943</v>
      </c>
      <c r="F1152" s="122" t="s">
        <v>943</v>
      </c>
      <c r="G1152" s="122" t="s">
        <v>943</v>
      </c>
      <c r="H1152" s="122" t="s">
        <v>943</v>
      </c>
      <c r="I1152" s="123">
        <f>I1153</f>
        <v>626</v>
      </c>
      <c r="J1152" s="123">
        <f t="shared" ref="J1152:L1152" si="466">J1153</f>
        <v>423.7</v>
      </c>
      <c r="K1152" s="123">
        <f t="shared" si="466"/>
        <v>423.7</v>
      </c>
      <c r="L1152" s="124">
        <f t="shared" si="466"/>
        <v>23</v>
      </c>
      <c r="M1152" s="122" t="s">
        <v>943</v>
      </c>
      <c r="N1152" s="122" t="s">
        <v>943</v>
      </c>
      <c r="O1152" s="125" t="s">
        <v>943</v>
      </c>
      <c r="P1152" s="126">
        <v>2233993.96</v>
      </c>
      <c r="Q1152" s="126">
        <f t="shared" ref="Q1152:S1152" si="467">Q1153</f>
        <v>0</v>
      </c>
      <c r="R1152" s="126">
        <f t="shared" si="467"/>
        <v>0</v>
      </c>
      <c r="S1152" s="126">
        <f t="shared" si="467"/>
        <v>2233993.96</v>
      </c>
      <c r="T1152" s="126">
        <f t="shared" si="421"/>
        <v>3568.6804472843451</v>
      </c>
      <c r="U1152" s="126">
        <f>MAX(U1153)</f>
        <v>4053.4541853035139</v>
      </c>
    </row>
    <row r="1153" spans="1:185" s="76" customFormat="1" ht="35.25" x14ac:dyDescent="0.25">
      <c r="A1153" s="76">
        <v>1</v>
      </c>
      <c r="B1153" s="138">
        <f>SUBTOTAL(103,$A$890:A1153)</f>
        <v>209</v>
      </c>
      <c r="C1153" s="139" t="s">
        <v>202</v>
      </c>
      <c r="D1153" s="140" t="s">
        <v>326</v>
      </c>
      <c r="E1153" s="140"/>
      <c r="F1153" s="141" t="s">
        <v>274</v>
      </c>
      <c r="G1153" s="140" t="s">
        <v>322</v>
      </c>
      <c r="H1153" s="140" t="s">
        <v>313</v>
      </c>
      <c r="I1153" s="142">
        <v>626</v>
      </c>
      <c r="J1153" s="142">
        <v>423.7</v>
      </c>
      <c r="K1153" s="142">
        <v>423.7</v>
      </c>
      <c r="L1153" s="143">
        <v>23</v>
      </c>
      <c r="M1153" s="140" t="s">
        <v>272</v>
      </c>
      <c r="N1153" s="140" t="s">
        <v>276</v>
      </c>
      <c r="O1153" s="140" t="s">
        <v>1043</v>
      </c>
      <c r="P1153" s="144">
        <v>2233993.96</v>
      </c>
      <c r="Q1153" s="144">
        <v>0</v>
      </c>
      <c r="R1153" s="144">
        <v>0</v>
      </c>
      <c r="S1153" s="144">
        <f>P1153-Q1153-R1153</f>
        <v>2233993.96</v>
      </c>
      <c r="T1153" s="145">
        <f t="shared" si="421"/>
        <v>3568.6804472843451</v>
      </c>
      <c r="U1153" s="145">
        <v>4053.4541853035139</v>
      </c>
      <c r="DK1153" s="146"/>
      <c r="DL1153" s="146"/>
      <c r="DM1153" s="146"/>
      <c r="EA1153" s="147"/>
      <c r="EJ1153" s="148"/>
      <c r="FM1153" s="149"/>
      <c r="GC1153" s="150"/>
    </row>
    <row r="1154" spans="1:185" s="67" customFormat="1" ht="61.5" x14ac:dyDescent="0.9">
      <c r="B1154" s="115" t="s">
        <v>914</v>
      </c>
      <c r="C1154" s="119"/>
      <c r="D1154" s="122" t="s">
        <v>943</v>
      </c>
      <c r="E1154" s="122" t="s">
        <v>943</v>
      </c>
      <c r="F1154" s="122" t="s">
        <v>943</v>
      </c>
      <c r="G1154" s="122" t="s">
        <v>943</v>
      </c>
      <c r="H1154" s="122" t="s">
        <v>943</v>
      </c>
      <c r="I1154" s="123">
        <f>SUM(I1155:I1157)</f>
        <v>4977.8</v>
      </c>
      <c r="J1154" s="123">
        <f t="shared" ref="J1154:L1154" si="468">SUM(J1155:J1157)</f>
        <v>4611.5</v>
      </c>
      <c r="K1154" s="123">
        <f t="shared" si="468"/>
        <v>4611.5</v>
      </c>
      <c r="L1154" s="124">
        <f t="shared" si="468"/>
        <v>158</v>
      </c>
      <c r="M1154" s="122" t="s">
        <v>943</v>
      </c>
      <c r="N1154" s="122" t="s">
        <v>943</v>
      </c>
      <c r="O1154" s="125" t="s">
        <v>943</v>
      </c>
      <c r="P1154" s="126">
        <v>14392200</v>
      </c>
      <c r="Q1154" s="126">
        <f t="shared" ref="Q1154:R1154" si="469">Q1155+Q1156+Q1157</f>
        <v>0</v>
      </c>
      <c r="R1154" s="126">
        <f t="shared" si="469"/>
        <v>0</v>
      </c>
      <c r="S1154" s="126">
        <f>S1155+S1156+S1157</f>
        <v>14392200</v>
      </c>
      <c r="T1154" s="126">
        <f t="shared" si="421"/>
        <v>2891.2772710836111</v>
      </c>
      <c r="U1154" s="126">
        <f>MAX(U1155:U1157)</f>
        <v>4037.3421215817825</v>
      </c>
    </row>
    <row r="1155" spans="1:185" s="76" customFormat="1" ht="35.25" x14ac:dyDescent="0.25">
      <c r="A1155" s="76">
        <v>1</v>
      </c>
      <c r="B1155" s="138">
        <f>SUBTOTAL(103,$A$890:A1155)</f>
        <v>210</v>
      </c>
      <c r="C1155" s="139" t="s">
        <v>219</v>
      </c>
      <c r="D1155" s="140">
        <v>1977</v>
      </c>
      <c r="E1155" s="140"/>
      <c r="F1155" s="141" t="s">
        <v>274</v>
      </c>
      <c r="G1155" s="140">
        <v>3</v>
      </c>
      <c r="H1155" s="140">
        <v>3</v>
      </c>
      <c r="I1155" s="142">
        <v>1967.4</v>
      </c>
      <c r="J1155" s="142">
        <v>1816.8</v>
      </c>
      <c r="K1155" s="142">
        <v>1816.8</v>
      </c>
      <c r="L1155" s="143">
        <v>56</v>
      </c>
      <c r="M1155" s="140" t="s">
        <v>272</v>
      </c>
      <c r="N1155" s="140" t="s">
        <v>276</v>
      </c>
      <c r="O1155" s="140" t="s">
        <v>342</v>
      </c>
      <c r="P1155" s="144">
        <v>6002700</v>
      </c>
      <c r="Q1155" s="144">
        <v>0</v>
      </c>
      <c r="R1155" s="144">
        <v>0</v>
      </c>
      <c r="S1155" s="144">
        <f t="shared" ref="S1155:S1157" si="470">P1155-Q1155-R1155</f>
        <v>6002700</v>
      </c>
      <c r="T1155" s="145">
        <f t="shared" si="421"/>
        <v>3051.0826471485207</v>
      </c>
      <c r="U1155" s="145">
        <v>4037.3421215817825</v>
      </c>
      <c r="DK1155" s="146"/>
      <c r="DL1155" s="146"/>
      <c r="DM1155" s="146"/>
      <c r="EA1155" s="147"/>
      <c r="EJ1155" s="148"/>
      <c r="FM1155" s="149"/>
      <c r="GC1155" s="150"/>
    </row>
    <row r="1156" spans="1:185" s="76" customFormat="1" ht="35.25" x14ac:dyDescent="0.25">
      <c r="A1156" s="76">
        <v>1</v>
      </c>
      <c r="B1156" s="138">
        <f>SUBTOTAL(103,$A$890:A1156)</f>
        <v>211</v>
      </c>
      <c r="C1156" s="139" t="s">
        <v>220</v>
      </c>
      <c r="D1156" s="140">
        <v>1989</v>
      </c>
      <c r="E1156" s="140"/>
      <c r="F1156" s="141" t="s">
        <v>274</v>
      </c>
      <c r="G1156" s="140">
        <v>3</v>
      </c>
      <c r="H1156" s="140">
        <v>2</v>
      </c>
      <c r="I1156" s="142">
        <v>1426.9</v>
      </c>
      <c r="J1156" s="142">
        <v>1318.5</v>
      </c>
      <c r="K1156" s="142">
        <v>1318.5</v>
      </c>
      <c r="L1156" s="143">
        <v>54</v>
      </c>
      <c r="M1156" s="140" t="s">
        <v>272</v>
      </c>
      <c r="N1156" s="140" t="s">
        <v>276</v>
      </c>
      <c r="O1156" s="140" t="s">
        <v>342</v>
      </c>
      <c r="P1156" s="144">
        <v>4059600</v>
      </c>
      <c r="Q1156" s="144">
        <v>0</v>
      </c>
      <c r="R1156" s="144">
        <v>0</v>
      </c>
      <c r="S1156" s="144">
        <f t="shared" si="470"/>
        <v>4059600</v>
      </c>
      <c r="T1156" s="145">
        <f t="shared" si="421"/>
        <v>2845.0487069871747</v>
      </c>
      <c r="U1156" s="145">
        <v>3764.7079122573405</v>
      </c>
      <c r="DK1156" s="146"/>
      <c r="DL1156" s="146"/>
      <c r="DM1156" s="146"/>
      <c r="EA1156" s="147"/>
      <c r="EJ1156" s="148"/>
      <c r="FM1156" s="149"/>
      <c r="GC1156" s="150"/>
    </row>
    <row r="1157" spans="1:185" s="76" customFormat="1" ht="35.25" x14ac:dyDescent="0.25">
      <c r="A1157" s="76">
        <v>1</v>
      </c>
      <c r="B1157" s="138">
        <f>SUBTOTAL(103,$A$890:A1157)</f>
        <v>212</v>
      </c>
      <c r="C1157" s="139" t="s">
        <v>221</v>
      </c>
      <c r="D1157" s="140">
        <v>1972</v>
      </c>
      <c r="E1157" s="140"/>
      <c r="F1157" s="141" t="s">
        <v>274</v>
      </c>
      <c r="G1157" s="140">
        <v>3</v>
      </c>
      <c r="H1157" s="140">
        <v>3</v>
      </c>
      <c r="I1157" s="142">
        <v>1583.5</v>
      </c>
      <c r="J1157" s="142">
        <v>1476.2</v>
      </c>
      <c r="K1157" s="142">
        <v>1476.2</v>
      </c>
      <c r="L1157" s="143">
        <v>48</v>
      </c>
      <c r="M1157" s="140" t="s">
        <v>272</v>
      </c>
      <c r="N1157" s="140" t="s">
        <v>276</v>
      </c>
      <c r="O1157" s="140" t="s">
        <v>342</v>
      </c>
      <c r="P1157" s="144">
        <v>4329900</v>
      </c>
      <c r="Q1157" s="144">
        <v>0</v>
      </c>
      <c r="R1157" s="144">
        <v>0</v>
      </c>
      <c r="S1157" s="144">
        <f t="shared" si="470"/>
        <v>4329900</v>
      </c>
      <c r="T1157" s="145">
        <f t="shared" si="421"/>
        <v>2734.3858541206187</v>
      </c>
      <c r="U1157" s="145">
        <v>3618.2734006946635</v>
      </c>
      <c r="DK1157" s="146"/>
      <c r="DL1157" s="146"/>
      <c r="DM1157" s="146"/>
      <c r="EA1157" s="147"/>
      <c r="EJ1157" s="148"/>
      <c r="FM1157" s="149"/>
      <c r="GC1157" s="150"/>
    </row>
    <row r="1158" spans="1:185" s="67" customFormat="1" ht="61.5" x14ac:dyDescent="0.9">
      <c r="B1158" s="115" t="s">
        <v>915</v>
      </c>
      <c r="C1158" s="115"/>
      <c r="D1158" s="122" t="s">
        <v>943</v>
      </c>
      <c r="E1158" s="122" t="s">
        <v>943</v>
      </c>
      <c r="F1158" s="122" t="s">
        <v>943</v>
      </c>
      <c r="G1158" s="122" t="s">
        <v>943</v>
      </c>
      <c r="H1158" s="122" t="s">
        <v>943</v>
      </c>
      <c r="I1158" s="123">
        <f>I1159</f>
        <v>775.2</v>
      </c>
      <c r="J1158" s="123">
        <f t="shared" ref="J1158:L1158" si="471">J1159</f>
        <v>715.9</v>
      </c>
      <c r="K1158" s="123">
        <f t="shared" si="471"/>
        <v>715.9</v>
      </c>
      <c r="L1158" s="124">
        <f t="shared" si="471"/>
        <v>16</v>
      </c>
      <c r="M1158" s="122" t="s">
        <v>943</v>
      </c>
      <c r="N1158" s="122" t="s">
        <v>943</v>
      </c>
      <c r="O1158" s="125" t="s">
        <v>943</v>
      </c>
      <c r="P1158" s="126">
        <v>3396600</v>
      </c>
      <c r="Q1158" s="126">
        <f t="shared" ref="Q1158:S1158" si="472">Q1159</f>
        <v>0</v>
      </c>
      <c r="R1158" s="126">
        <f t="shared" si="472"/>
        <v>0</v>
      </c>
      <c r="S1158" s="126">
        <f t="shared" si="472"/>
        <v>3396600</v>
      </c>
      <c r="T1158" s="126">
        <f t="shared" si="421"/>
        <v>4381.5789473684208</v>
      </c>
      <c r="U1158" s="126">
        <f>MAX(U1159)</f>
        <v>5797.9200464396281</v>
      </c>
    </row>
    <row r="1159" spans="1:185" s="76" customFormat="1" ht="35.25" x14ac:dyDescent="0.25">
      <c r="A1159" s="76">
        <v>1</v>
      </c>
      <c r="B1159" s="138">
        <f>SUBTOTAL(103,$A$890:A1159)</f>
        <v>213</v>
      </c>
      <c r="C1159" s="139" t="s">
        <v>227</v>
      </c>
      <c r="D1159" s="140">
        <v>1974</v>
      </c>
      <c r="E1159" s="140"/>
      <c r="F1159" s="141" t="s">
        <v>274</v>
      </c>
      <c r="G1159" s="140">
        <v>2</v>
      </c>
      <c r="H1159" s="140">
        <v>2</v>
      </c>
      <c r="I1159" s="142">
        <v>775.2</v>
      </c>
      <c r="J1159" s="142">
        <v>715.9</v>
      </c>
      <c r="K1159" s="142">
        <v>715.9</v>
      </c>
      <c r="L1159" s="143">
        <v>16</v>
      </c>
      <c r="M1159" s="140" t="s">
        <v>272</v>
      </c>
      <c r="N1159" s="140" t="s">
        <v>273</v>
      </c>
      <c r="O1159" s="140" t="s">
        <v>275</v>
      </c>
      <c r="P1159" s="144">
        <v>3396600</v>
      </c>
      <c r="Q1159" s="144">
        <v>0</v>
      </c>
      <c r="R1159" s="144">
        <v>0</v>
      </c>
      <c r="S1159" s="144">
        <f>P1159-Q1159-R1159</f>
        <v>3396600</v>
      </c>
      <c r="T1159" s="145">
        <f t="shared" si="421"/>
        <v>4381.5789473684208</v>
      </c>
      <c r="U1159" s="145">
        <v>5797.9200464396281</v>
      </c>
      <c r="DK1159" s="146"/>
      <c r="DL1159" s="146"/>
      <c r="DM1159" s="146"/>
      <c r="EA1159" s="147"/>
      <c r="EJ1159" s="148"/>
      <c r="FM1159" s="149"/>
      <c r="GC1159" s="150"/>
    </row>
  </sheetData>
  <mergeCells count="26">
    <mergeCell ref="U8:U10"/>
    <mergeCell ref="D9:D11"/>
    <mergeCell ref="E9:E11"/>
    <mergeCell ref="P9:P10"/>
    <mergeCell ref="Q9:Q10"/>
    <mergeCell ref="R9:R10"/>
    <mergeCell ref="M8:M11"/>
    <mergeCell ref="N8:N11"/>
    <mergeCell ref="J9:J10"/>
    <mergeCell ref="K9:K10"/>
    <mergeCell ref="B4:U6"/>
    <mergeCell ref="S1:U1"/>
    <mergeCell ref="O2:U3"/>
    <mergeCell ref="O8:O11"/>
    <mergeCell ref="B8:B11"/>
    <mergeCell ref="C8:C11"/>
    <mergeCell ref="D8:E8"/>
    <mergeCell ref="F8:F11"/>
    <mergeCell ref="G8:G11"/>
    <mergeCell ref="H8:H11"/>
    <mergeCell ref="S9:S10"/>
    <mergeCell ref="P8:S8"/>
    <mergeCell ref="T8:T10"/>
    <mergeCell ref="I8:I10"/>
    <mergeCell ref="J8:K8"/>
    <mergeCell ref="L8:L10"/>
  </mergeCells>
  <pageMargins left="0" right="0" top="0.39370078740157483" bottom="0" header="0" footer="0"/>
  <pageSetup paperSize="9" scale="17" fitToHeight="0" orientation="landscape" r:id="rId1"/>
  <headerFooter differentFirst="1">
    <oddHeader>&amp;C&amp;"Times New Roman,обычный"&amp;20&amp;P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"/>
  <sheetViews>
    <sheetView tabSelected="1" view="pageBreakPreview" zoomScale="60" zoomScaleNormal="60" workbookViewId="0">
      <selection activeCell="R23" sqref="R23"/>
    </sheetView>
  </sheetViews>
  <sheetFormatPr defaultRowHeight="15" x14ac:dyDescent="0.25"/>
  <cols>
    <col min="1" max="1" width="28.7109375" customWidth="1"/>
    <col min="2" max="2" width="43.42578125" customWidth="1"/>
    <col min="3" max="3" width="52.7109375" customWidth="1"/>
    <col min="5" max="5" width="14" customWidth="1"/>
    <col min="7" max="7" width="12" customWidth="1"/>
    <col min="9" max="9" width="21.7109375" customWidth="1"/>
    <col min="11" max="11" width="20.5703125" customWidth="1"/>
    <col min="12" max="12" width="23.42578125" customWidth="1"/>
  </cols>
  <sheetData>
    <row r="1" spans="1:3" ht="18.75" x14ac:dyDescent="0.3">
      <c r="A1" s="1"/>
      <c r="B1" s="1"/>
      <c r="C1" s="2" t="s">
        <v>780</v>
      </c>
    </row>
    <row r="2" spans="1:3" ht="63.75" customHeight="1" x14ac:dyDescent="0.25">
      <c r="A2" s="187" t="s">
        <v>788</v>
      </c>
      <c r="B2" s="187"/>
      <c r="C2" s="187"/>
    </row>
    <row r="3" spans="1:3" ht="41.45" customHeight="1" x14ac:dyDescent="0.25">
      <c r="A3" s="184" t="s">
        <v>781</v>
      </c>
      <c r="B3" s="185"/>
      <c r="C3" s="186"/>
    </row>
    <row r="4" spans="1:3" ht="18.75" x14ac:dyDescent="0.25">
      <c r="A4" s="184" t="s">
        <v>782</v>
      </c>
      <c r="B4" s="186"/>
      <c r="C4" s="43" t="s">
        <v>789</v>
      </c>
    </row>
    <row r="5" spans="1:3" ht="18.75" x14ac:dyDescent="0.3">
      <c r="A5" s="182" t="s">
        <v>783</v>
      </c>
      <c r="B5" s="183"/>
      <c r="C5" s="44">
        <v>1597069381.52</v>
      </c>
    </row>
    <row r="6" spans="1:3" ht="37.5" customHeight="1" x14ac:dyDescent="0.3">
      <c r="A6" s="182" t="s">
        <v>784</v>
      </c>
      <c r="B6" s="183"/>
      <c r="C6" s="44">
        <v>0</v>
      </c>
    </row>
    <row r="7" spans="1:3" ht="18.75" x14ac:dyDescent="0.3">
      <c r="A7" s="182" t="s">
        <v>785</v>
      </c>
      <c r="B7" s="183"/>
      <c r="C7" s="44">
        <v>0</v>
      </c>
    </row>
    <row r="8" spans="1:3" ht="18.75" x14ac:dyDescent="0.3">
      <c r="A8" s="182" t="s">
        <v>786</v>
      </c>
      <c r="B8" s="183"/>
      <c r="C8" s="44">
        <v>5091410.0600000005</v>
      </c>
    </row>
    <row r="9" spans="1:3" ht="18.75" x14ac:dyDescent="0.3">
      <c r="A9" s="182" t="s">
        <v>787</v>
      </c>
      <c r="B9" s="183"/>
      <c r="C9" s="44">
        <f>C5-C6-C7-C8</f>
        <v>1591977971.46</v>
      </c>
    </row>
    <row r="10" spans="1:3" ht="43.9" customHeight="1" x14ac:dyDescent="0.25">
      <c r="A10" s="184" t="s">
        <v>781</v>
      </c>
      <c r="B10" s="185"/>
      <c r="C10" s="186"/>
    </row>
    <row r="11" spans="1:3" ht="18.75" x14ac:dyDescent="0.25">
      <c r="A11" s="184" t="s">
        <v>782</v>
      </c>
      <c r="B11" s="186"/>
      <c r="C11" s="43" t="s">
        <v>790</v>
      </c>
    </row>
    <row r="12" spans="1:3" ht="18.75" x14ac:dyDescent="0.3">
      <c r="A12" s="182" t="s">
        <v>783</v>
      </c>
      <c r="B12" s="183"/>
      <c r="C12" s="44">
        <v>799016824.95999992</v>
      </c>
    </row>
    <row r="13" spans="1:3" ht="33.75" customHeight="1" x14ac:dyDescent="0.3">
      <c r="A13" s="182" t="s">
        <v>784</v>
      </c>
      <c r="B13" s="183"/>
      <c r="C13" s="44">
        <v>0</v>
      </c>
    </row>
    <row r="14" spans="1:3" ht="18.75" x14ac:dyDescent="0.3">
      <c r="A14" s="182" t="s">
        <v>785</v>
      </c>
      <c r="B14" s="183"/>
      <c r="C14" s="44">
        <v>0</v>
      </c>
    </row>
    <row r="15" spans="1:3" ht="18.75" x14ac:dyDescent="0.3">
      <c r="A15" s="182" t="s">
        <v>786</v>
      </c>
      <c r="B15" s="183"/>
      <c r="C15" s="44">
        <v>2523423.19</v>
      </c>
    </row>
    <row r="16" spans="1:3" ht="18.75" x14ac:dyDescent="0.3">
      <c r="A16" s="182" t="s">
        <v>787</v>
      </c>
      <c r="B16" s="183"/>
      <c r="C16" s="44">
        <f>C12-C13-C14-C15</f>
        <v>796493401.76999986</v>
      </c>
    </row>
    <row r="17" spans="1:3" ht="39.75" customHeight="1" x14ac:dyDescent="0.25">
      <c r="A17" s="184" t="s">
        <v>781</v>
      </c>
      <c r="B17" s="185"/>
      <c r="C17" s="186"/>
    </row>
    <row r="18" spans="1:3" ht="18.75" x14ac:dyDescent="0.25">
      <c r="A18" s="184" t="s">
        <v>782</v>
      </c>
      <c r="B18" s="186"/>
      <c r="C18" s="43" t="s">
        <v>791</v>
      </c>
    </row>
    <row r="19" spans="1:3" ht="18.75" x14ac:dyDescent="0.3">
      <c r="A19" s="182" t="s">
        <v>783</v>
      </c>
      <c r="B19" s="183"/>
      <c r="C19" s="44">
        <v>791835849.29999995</v>
      </c>
    </row>
    <row r="20" spans="1:3" ht="41.25" customHeight="1" x14ac:dyDescent="0.3">
      <c r="A20" s="182" t="s">
        <v>784</v>
      </c>
      <c r="B20" s="183"/>
      <c r="C20" s="44">
        <v>0</v>
      </c>
    </row>
    <row r="21" spans="1:3" ht="18.75" x14ac:dyDescent="0.3">
      <c r="A21" s="182" t="s">
        <v>785</v>
      </c>
      <c r="B21" s="183"/>
      <c r="C21" s="44">
        <v>0</v>
      </c>
    </row>
    <row r="22" spans="1:3" ht="18.75" x14ac:dyDescent="0.3">
      <c r="A22" s="182" t="s">
        <v>786</v>
      </c>
      <c r="B22" s="183"/>
      <c r="C22" s="44">
        <v>1851570.68</v>
      </c>
    </row>
    <row r="23" spans="1:3" ht="18.75" x14ac:dyDescent="0.3">
      <c r="A23" s="182" t="s">
        <v>787</v>
      </c>
      <c r="B23" s="183"/>
      <c r="C23" s="44">
        <f>C19-C20-C21-C22</f>
        <v>789984278.62</v>
      </c>
    </row>
    <row r="24" spans="1:3" ht="81.75" customHeight="1" x14ac:dyDescent="0.25">
      <c r="A24" s="184" t="s">
        <v>1514</v>
      </c>
      <c r="B24" s="185"/>
      <c r="C24" s="186"/>
    </row>
    <row r="25" spans="1:3" ht="18.75" x14ac:dyDescent="0.25">
      <c r="A25" s="184" t="s">
        <v>782</v>
      </c>
      <c r="B25" s="186"/>
      <c r="C25" s="43" t="s">
        <v>789</v>
      </c>
    </row>
    <row r="26" spans="1:3" ht="18.75" x14ac:dyDescent="0.3">
      <c r="A26" s="182" t="s">
        <v>785</v>
      </c>
      <c r="B26" s="183"/>
      <c r="C26" s="44">
        <v>28865700</v>
      </c>
    </row>
    <row r="27" spans="1:3" ht="82.5" customHeight="1" x14ac:dyDescent="0.25">
      <c r="A27" s="184" t="s">
        <v>1514</v>
      </c>
      <c r="B27" s="185"/>
      <c r="C27" s="186"/>
    </row>
    <row r="28" spans="1:3" ht="18.75" x14ac:dyDescent="0.25">
      <c r="A28" s="184" t="s">
        <v>782</v>
      </c>
      <c r="B28" s="186"/>
      <c r="C28" s="43" t="s">
        <v>790</v>
      </c>
    </row>
    <row r="29" spans="1:3" ht="18.75" x14ac:dyDescent="0.3">
      <c r="A29" s="182" t="s">
        <v>785</v>
      </c>
      <c r="B29" s="183"/>
      <c r="C29" s="44">
        <v>28826300</v>
      </c>
    </row>
    <row r="30" spans="1:3" ht="81" customHeight="1" x14ac:dyDescent="0.25">
      <c r="A30" s="184" t="s">
        <v>1514</v>
      </c>
      <c r="B30" s="185"/>
      <c r="C30" s="186"/>
    </row>
    <row r="31" spans="1:3" ht="18.75" x14ac:dyDescent="0.25">
      <c r="A31" s="184" t="s">
        <v>782</v>
      </c>
      <c r="B31" s="186"/>
      <c r="C31" s="43" t="s">
        <v>791</v>
      </c>
    </row>
    <row r="32" spans="1:3" ht="18.75" x14ac:dyDescent="0.3">
      <c r="A32" s="182" t="s">
        <v>785</v>
      </c>
      <c r="B32" s="183"/>
      <c r="C32" s="44">
        <v>28058900</v>
      </c>
    </row>
  </sheetData>
  <mergeCells count="31">
    <mergeCell ref="A30:C30"/>
    <mergeCell ref="A31:B31"/>
    <mergeCell ref="A32:B32"/>
    <mergeCell ref="A29:B29"/>
    <mergeCell ref="A24:C24"/>
    <mergeCell ref="A25:B25"/>
    <mergeCell ref="A26:B26"/>
    <mergeCell ref="A27:C27"/>
    <mergeCell ref="A28:B28"/>
    <mergeCell ref="A7:B7"/>
    <mergeCell ref="A2:C2"/>
    <mergeCell ref="A3:C3"/>
    <mergeCell ref="A4:B4"/>
    <mergeCell ref="A5:B5"/>
    <mergeCell ref="A6:B6"/>
    <mergeCell ref="A8:B8"/>
    <mergeCell ref="A9:B9"/>
    <mergeCell ref="A10:C10"/>
    <mergeCell ref="A11:B11"/>
    <mergeCell ref="A12:B12"/>
    <mergeCell ref="A23:B23"/>
    <mergeCell ref="A13:B13"/>
    <mergeCell ref="A14:B14"/>
    <mergeCell ref="A15:B15"/>
    <mergeCell ref="A16:B16"/>
    <mergeCell ref="A17:C17"/>
    <mergeCell ref="A18:B18"/>
    <mergeCell ref="A19:B19"/>
    <mergeCell ref="A20:B20"/>
    <mergeCell ref="A21:B21"/>
    <mergeCell ref="A22:B22"/>
  </mergeCells>
  <pageMargins left="0.25" right="0.25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4"/>
  <sheetViews>
    <sheetView zoomScale="70" zoomScaleNormal="70" workbookViewId="0">
      <selection activeCell="F10" sqref="F10"/>
    </sheetView>
  </sheetViews>
  <sheetFormatPr defaultRowHeight="15" x14ac:dyDescent="0.25"/>
  <cols>
    <col min="1" max="1" width="9" style="7" customWidth="1"/>
    <col min="2" max="2" width="81" style="7" customWidth="1"/>
    <col min="3" max="3" width="23.85546875" style="7" customWidth="1"/>
    <col min="4" max="4" width="32.28515625" style="7" customWidth="1"/>
    <col min="5" max="5" width="22.140625" style="7" customWidth="1"/>
    <col min="6" max="6" width="28.85546875" style="7" customWidth="1"/>
    <col min="7" max="7" width="9.140625" style="7"/>
    <col min="8" max="8" width="0" style="7" hidden="1" customWidth="1"/>
    <col min="9" max="9" width="16.28515625" style="7" hidden="1" customWidth="1"/>
    <col min="10" max="10" width="0" style="7" hidden="1" customWidth="1"/>
    <col min="11" max="16384" width="9.140625" style="7"/>
  </cols>
  <sheetData>
    <row r="1" spans="1:6" ht="20.25" x14ac:dyDescent="0.25">
      <c r="A1" s="6"/>
      <c r="B1" s="6"/>
      <c r="C1" s="6"/>
      <c r="D1" s="6"/>
      <c r="E1" s="188" t="s">
        <v>792</v>
      </c>
      <c r="F1" s="188"/>
    </row>
    <row r="2" spans="1:6" ht="95.25" customHeight="1" x14ac:dyDescent="0.25">
      <c r="B2" s="8"/>
      <c r="C2" s="8"/>
      <c r="D2" s="189" t="s">
        <v>799</v>
      </c>
      <c r="E2" s="189"/>
      <c r="F2" s="189"/>
    </row>
    <row r="3" spans="1:6" x14ac:dyDescent="0.25">
      <c r="A3" s="190" t="s">
        <v>800</v>
      </c>
      <c r="B3" s="190"/>
      <c r="C3" s="190"/>
      <c r="D3" s="190"/>
      <c r="E3" s="190"/>
      <c r="F3" s="190"/>
    </row>
    <row r="4" spans="1:6" ht="93" customHeight="1" x14ac:dyDescent="0.25">
      <c r="A4" s="190"/>
      <c r="B4" s="190"/>
      <c r="C4" s="190"/>
      <c r="D4" s="190"/>
      <c r="E4" s="190"/>
      <c r="F4" s="190"/>
    </row>
    <row r="5" spans="1:6" x14ac:dyDescent="0.25">
      <c r="A5" s="191" t="s">
        <v>6</v>
      </c>
      <c r="B5" s="194" t="s">
        <v>793</v>
      </c>
      <c r="C5" s="191" t="s">
        <v>794</v>
      </c>
      <c r="D5" s="191" t="s">
        <v>795</v>
      </c>
      <c r="E5" s="191" t="s">
        <v>796</v>
      </c>
      <c r="F5" s="191" t="s">
        <v>797</v>
      </c>
    </row>
    <row r="6" spans="1:6" x14ac:dyDescent="0.25">
      <c r="A6" s="192"/>
      <c r="B6" s="195"/>
      <c r="C6" s="197"/>
      <c r="D6" s="197"/>
      <c r="E6" s="197"/>
      <c r="F6" s="197"/>
    </row>
    <row r="7" spans="1:6" ht="101.25" customHeight="1" x14ac:dyDescent="0.25">
      <c r="A7" s="192"/>
      <c r="B7" s="195"/>
      <c r="C7" s="198"/>
      <c r="D7" s="198"/>
      <c r="E7" s="198"/>
      <c r="F7" s="198"/>
    </row>
    <row r="8" spans="1:6" ht="20.25" x14ac:dyDescent="0.3">
      <c r="A8" s="193"/>
      <c r="B8" s="196"/>
      <c r="C8" s="9" t="s">
        <v>798</v>
      </c>
      <c r="D8" s="9" t="s">
        <v>270</v>
      </c>
      <c r="E8" s="10" t="s">
        <v>37</v>
      </c>
      <c r="F8" s="10" t="s">
        <v>36</v>
      </c>
    </row>
    <row r="9" spans="1:6" ht="20.25" x14ac:dyDescent="0.3">
      <c r="A9" s="11">
        <v>1</v>
      </c>
      <c r="B9" s="11">
        <v>2</v>
      </c>
      <c r="C9" s="11">
        <v>3</v>
      </c>
      <c r="D9" s="11">
        <v>4</v>
      </c>
      <c r="E9" s="11">
        <v>5</v>
      </c>
      <c r="F9" s="11">
        <v>6</v>
      </c>
    </row>
    <row r="10" spans="1:6" ht="20.25" x14ac:dyDescent="0.3">
      <c r="A10" s="3" t="s">
        <v>802</v>
      </c>
      <c r="B10" s="12"/>
      <c r="C10" s="83">
        <f>C11+C79+C136</f>
        <v>2542054.7199999997</v>
      </c>
      <c r="D10" s="84">
        <f>D11+D79+D136</f>
        <v>96317</v>
      </c>
      <c r="E10" s="84">
        <f>E11+E79+E136</f>
        <v>961</v>
      </c>
      <c r="F10" s="83">
        <f>F11+F79+F136</f>
        <v>3187922055.7799997</v>
      </c>
    </row>
    <row r="11" spans="1:6" ht="20.25" x14ac:dyDescent="0.3">
      <c r="A11" s="3" t="s">
        <v>803</v>
      </c>
      <c r="B11" s="12"/>
      <c r="C11" s="83">
        <f>SUM(C12:C78)</f>
        <v>1196991.8699999996</v>
      </c>
      <c r="D11" s="84">
        <f t="shared" ref="D11:F11" si="0">SUM(D12:D78)</f>
        <v>44694</v>
      </c>
      <c r="E11" s="85">
        <f t="shared" si="0"/>
        <v>445</v>
      </c>
      <c r="F11" s="83">
        <f t="shared" si="0"/>
        <v>1597069381.52</v>
      </c>
    </row>
    <row r="12" spans="1:6" ht="20.25" x14ac:dyDescent="0.3">
      <c r="A12" s="5">
        <v>1</v>
      </c>
      <c r="B12" s="3" t="s">
        <v>1040</v>
      </c>
      <c r="C12" s="83">
        <v>324352.74</v>
      </c>
      <c r="D12" s="84">
        <v>12372</v>
      </c>
      <c r="E12" s="85">
        <v>104</v>
      </c>
      <c r="F12" s="86">
        <v>355882113.97999996</v>
      </c>
    </row>
    <row r="13" spans="1:6" ht="20.25" x14ac:dyDescent="0.3">
      <c r="A13" s="5">
        <v>2</v>
      </c>
      <c r="B13" s="3" t="s">
        <v>945</v>
      </c>
      <c r="C13" s="83">
        <v>57909.200000000004</v>
      </c>
      <c r="D13" s="84">
        <v>2372</v>
      </c>
      <c r="E13" s="85">
        <v>34</v>
      </c>
      <c r="F13" s="86">
        <v>103849651.88</v>
      </c>
    </row>
    <row r="14" spans="1:6" ht="20.25" x14ac:dyDescent="0.3">
      <c r="A14" s="5">
        <v>3</v>
      </c>
      <c r="B14" s="3" t="s">
        <v>946</v>
      </c>
      <c r="C14" s="86">
        <v>109987.91999999998</v>
      </c>
      <c r="D14" s="85">
        <v>4214</v>
      </c>
      <c r="E14" s="85">
        <v>37</v>
      </c>
      <c r="F14" s="86">
        <v>150030084.49000001</v>
      </c>
    </row>
    <row r="15" spans="1:6" ht="20.25" x14ac:dyDescent="0.3">
      <c r="A15" s="5">
        <v>4</v>
      </c>
      <c r="B15" s="3" t="s">
        <v>1002</v>
      </c>
      <c r="C15" s="86">
        <v>184811.18</v>
      </c>
      <c r="D15" s="85">
        <v>5972</v>
      </c>
      <c r="E15" s="85">
        <v>30</v>
      </c>
      <c r="F15" s="86">
        <v>172847335.12</v>
      </c>
    </row>
    <row r="16" spans="1:6" ht="20.25" x14ac:dyDescent="0.3">
      <c r="A16" s="5">
        <v>5</v>
      </c>
      <c r="B16" s="3" t="s">
        <v>948</v>
      </c>
      <c r="C16" s="83">
        <v>33220.74</v>
      </c>
      <c r="D16" s="84">
        <v>1601</v>
      </c>
      <c r="E16" s="85">
        <v>5</v>
      </c>
      <c r="F16" s="86">
        <v>41793239.829999998</v>
      </c>
    </row>
    <row r="17" spans="1:6" ht="20.25" x14ac:dyDescent="0.3">
      <c r="A17" s="5">
        <v>6</v>
      </c>
      <c r="B17" s="3" t="s">
        <v>949</v>
      </c>
      <c r="C17" s="86">
        <v>100308.71000000002</v>
      </c>
      <c r="D17" s="85">
        <v>3941</v>
      </c>
      <c r="E17" s="85">
        <v>29</v>
      </c>
      <c r="F17" s="86">
        <v>123375949.55000003</v>
      </c>
    </row>
    <row r="18" spans="1:6" ht="20.25" x14ac:dyDescent="0.3">
      <c r="A18" s="5">
        <v>7</v>
      </c>
      <c r="B18" s="3" t="s">
        <v>950</v>
      </c>
      <c r="C18" s="86">
        <v>42597.2</v>
      </c>
      <c r="D18" s="85">
        <v>1169</v>
      </c>
      <c r="E18" s="85">
        <v>7</v>
      </c>
      <c r="F18" s="86">
        <v>31393292.600000001</v>
      </c>
    </row>
    <row r="19" spans="1:6" ht="20.25" x14ac:dyDescent="0.3">
      <c r="A19" s="5">
        <v>8</v>
      </c>
      <c r="B19" s="3" t="s">
        <v>951</v>
      </c>
      <c r="C19" s="86">
        <v>9987.2999999999993</v>
      </c>
      <c r="D19" s="85">
        <v>398</v>
      </c>
      <c r="E19" s="85">
        <v>6</v>
      </c>
      <c r="F19" s="86">
        <v>35924336.760000005</v>
      </c>
    </row>
    <row r="20" spans="1:6" ht="20.25" x14ac:dyDescent="0.3">
      <c r="A20" s="5">
        <v>9</v>
      </c>
      <c r="B20" s="3" t="s">
        <v>952</v>
      </c>
      <c r="C20" s="86">
        <v>15661.67</v>
      </c>
      <c r="D20" s="85">
        <v>532</v>
      </c>
      <c r="E20" s="85">
        <v>4</v>
      </c>
      <c r="F20" s="86">
        <v>16213162.32</v>
      </c>
    </row>
    <row r="21" spans="1:6" ht="20.25" x14ac:dyDescent="0.3">
      <c r="A21" s="5">
        <v>10</v>
      </c>
      <c r="B21" s="3" t="s">
        <v>1469</v>
      </c>
      <c r="C21" s="86">
        <v>762</v>
      </c>
      <c r="D21" s="85">
        <v>12</v>
      </c>
      <c r="E21" s="85">
        <v>1</v>
      </c>
      <c r="F21" s="86">
        <v>509455.14</v>
      </c>
    </row>
    <row r="22" spans="1:6" ht="20.25" x14ac:dyDescent="0.3">
      <c r="A22" s="5">
        <v>11</v>
      </c>
      <c r="B22" s="3" t="s">
        <v>953</v>
      </c>
      <c r="C22" s="86">
        <v>2259.1</v>
      </c>
      <c r="D22" s="85">
        <v>104</v>
      </c>
      <c r="E22" s="85">
        <v>2</v>
      </c>
      <c r="F22" s="86">
        <v>4817952.709999999</v>
      </c>
    </row>
    <row r="23" spans="1:6" ht="20.25" x14ac:dyDescent="0.3">
      <c r="A23" s="5">
        <v>12</v>
      </c>
      <c r="B23" s="3" t="s">
        <v>954</v>
      </c>
      <c r="C23" s="86">
        <v>4271.2</v>
      </c>
      <c r="D23" s="85">
        <v>161</v>
      </c>
      <c r="E23" s="85">
        <v>5</v>
      </c>
      <c r="F23" s="86">
        <v>13474518.75</v>
      </c>
    </row>
    <row r="24" spans="1:6" ht="20.25" x14ac:dyDescent="0.3">
      <c r="A24" s="5">
        <v>13</v>
      </c>
      <c r="B24" s="3" t="s">
        <v>955</v>
      </c>
      <c r="C24" s="86">
        <v>2996.9</v>
      </c>
      <c r="D24" s="85">
        <v>130</v>
      </c>
      <c r="E24" s="85">
        <v>5</v>
      </c>
      <c r="F24" s="86">
        <v>4062130.5699999989</v>
      </c>
    </row>
    <row r="25" spans="1:6" ht="20.25" x14ac:dyDescent="0.3">
      <c r="A25" s="5">
        <v>14</v>
      </c>
      <c r="B25" s="3" t="s">
        <v>957</v>
      </c>
      <c r="C25" s="86">
        <v>3504.3</v>
      </c>
      <c r="D25" s="85">
        <v>153</v>
      </c>
      <c r="E25" s="85">
        <v>1</v>
      </c>
      <c r="F25" s="86">
        <v>3673115.64</v>
      </c>
    </row>
    <row r="26" spans="1:6" ht="20.25" x14ac:dyDescent="0.3">
      <c r="A26" s="5">
        <v>15</v>
      </c>
      <c r="B26" s="3" t="s">
        <v>958</v>
      </c>
      <c r="C26" s="86">
        <v>38675.9</v>
      </c>
      <c r="D26" s="85">
        <v>1128</v>
      </c>
      <c r="E26" s="85">
        <v>15</v>
      </c>
      <c r="F26" s="86">
        <v>46347987.670000002</v>
      </c>
    </row>
    <row r="27" spans="1:6" ht="20.25" x14ac:dyDescent="0.3">
      <c r="A27" s="5">
        <v>16</v>
      </c>
      <c r="B27" s="3" t="s">
        <v>959</v>
      </c>
      <c r="C27" s="86">
        <v>10156.500000000002</v>
      </c>
      <c r="D27" s="85">
        <v>671</v>
      </c>
      <c r="E27" s="85">
        <v>12</v>
      </c>
      <c r="F27" s="86">
        <v>28193954.82</v>
      </c>
    </row>
    <row r="28" spans="1:6" ht="20.25" x14ac:dyDescent="0.3">
      <c r="A28" s="5">
        <v>17</v>
      </c>
      <c r="B28" s="3" t="s">
        <v>960</v>
      </c>
      <c r="C28" s="86">
        <v>1467.6999999999998</v>
      </c>
      <c r="D28" s="85">
        <v>51</v>
      </c>
      <c r="E28" s="85">
        <v>4</v>
      </c>
      <c r="F28" s="86">
        <v>2484195.4</v>
      </c>
    </row>
    <row r="29" spans="1:6" ht="20.25" x14ac:dyDescent="0.3">
      <c r="A29" s="5">
        <v>18</v>
      </c>
      <c r="B29" s="3" t="s">
        <v>961</v>
      </c>
      <c r="C29" s="86">
        <v>2026.2</v>
      </c>
      <c r="D29" s="85">
        <v>65</v>
      </c>
      <c r="E29" s="85">
        <v>3</v>
      </c>
      <c r="F29" s="86">
        <v>5532352.54</v>
      </c>
    </row>
    <row r="30" spans="1:6" ht="20.25" x14ac:dyDescent="0.3">
      <c r="A30" s="5">
        <v>19</v>
      </c>
      <c r="B30" s="3" t="s">
        <v>1020</v>
      </c>
      <c r="C30" s="86">
        <v>1746.5</v>
      </c>
      <c r="D30" s="85">
        <v>90</v>
      </c>
      <c r="E30" s="85">
        <v>2</v>
      </c>
      <c r="F30" s="86">
        <v>7323302.0899999999</v>
      </c>
    </row>
    <row r="31" spans="1:6" ht="20.25" x14ac:dyDescent="0.3">
      <c r="A31" s="5">
        <v>20</v>
      </c>
      <c r="B31" s="3" t="s">
        <v>964</v>
      </c>
      <c r="C31" s="83">
        <v>5235.8</v>
      </c>
      <c r="D31" s="84">
        <v>211</v>
      </c>
      <c r="E31" s="85">
        <v>2</v>
      </c>
      <c r="F31" s="86">
        <v>9157411.8499999996</v>
      </c>
    </row>
    <row r="32" spans="1:6" ht="20.25" x14ac:dyDescent="0.3">
      <c r="A32" s="5">
        <v>21</v>
      </c>
      <c r="B32" s="3" t="s">
        <v>1007</v>
      </c>
      <c r="C32" s="83">
        <v>9027.7200000000012</v>
      </c>
      <c r="D32" s="84">
        <v>298</v>
      </c>
      <c r="E32" s="85">
        <v>2</v>
      </c>
      <c r="F32" s="86">
        <v>8304834.3399999999</v>
      </c>
    </row>
    <row r="33" spans="1:6" ht="20.25" x14ac:dyDescent="0.3">
      <c r="A33" s="5">
        <v>22</v>
      </c>
      <c r="B33" s="3" t="s">
        <v>966</v>
      </c>
      <c r="C33" s="83">
        <v>846.4</v>
      </c>
      <c r="D33" s="84">
        <v>26</v>
      </c>
      <c r="E33" s="85">
        <v>1</v>
      </c>
      <c r="F33" s="86">
        <v>5698132.5200000005</v>
      </c>
    </row>
    <row r="34" spans="1:6" ht="20.25" x14ac:dyDescent="0.3">
      <c r="A34" s="5">
        <v>23</v>
      </c>
      <c r="B34" s="3" t="s">
        <v>968</v>
      </c>
      <c r="C34" s="86">
        <v>40934.480000000003</v>
      </c>
      <c r="D34" s="85">
        <v>1442</v>
      </c>
      <c r="E34" s="85">
        <v>14</v>
      </c>
      <c r="F34" s="86">
        <v>57146342.280000009</v>
      </c>
    </row>
    <row r="35" spans="1:6" ht="20.25" x14ac:dyDescent="0.3">
      <c r="A35" s="5">
        <v>24</v>
      </c>
      <c r="B35" s="3" t="s">
        <v>1021</v>
      </c>
      <c r="C35" s="86">
        <v>2529.2999999999997</v>
      </c>
      <c r="D35" s="85">
        <v>114</v>
      </c>
      <c r="E35" s="85">
        <v>2</v>
      </c>
      <c r="F35" s="86">
        <v>3593882.32</v>
      </c>
    </row>
    <row r="36" spans="1:6" ht="20.25" x14ac:dyDescent="0.3">
      <c r="A36" s="5">
        <v>25</v>
      </c>
      <c r="B36" s="3" t="s">
        <v>1022</v>
      </c>
      <c r="C36" s="86">
        <v>375</v>
      </c>
      <c r="D36" s="85">
        <v>14</v>
      </c>
      <c r="E36" s="85">
        <v>1</v>
      </c>
      <c r="F36" s="86">
        <v>2727875.44</v>
      </c>
    </row>
    <row r="37" spans="1:6" ht="20.25" x14ac:dyDescent="0.3">
      <c r="A37" s="5">
        <v>26</v>
      </c>
      <c r="B37" s="3" t="s">
        <v>1023</v>
      </c>
      <c r="C37" s="86">
        <v>1156.21</v>
      </c>
      <c r="D37" s="85">
        <v>34</v>
      </c>
      <c r="E37" s="85">
        <v>1</v>
      </c>
      <c r="F37" s="86">
        <v>3859455.67</v>
      </c>
    </row>
    <row r="38" spans="1:6" ht="20.25" x14ac:dyDescent="0.3">
      <c r="A38" s="5">
        <v>27</v>
      </c>
      <c r="B38" s="3" t="s">
        <v>970</v>
      </c>
      <c r="C38" s="86">
        <v>2274.1999999999998</v>
      </c>
      <c r="D38" s="85">
        <v>94</v>
      </c>
      <c r="E38" s="85">
        <v>3</v>
      </c>
      <c r="F38" s="86">
        <v>10271754.799999999</v>
      </c>
    </row>
    <row r="39" spans="1:6" ht="20.25" x14ac:dyDescent="0.3">
      <c r="A39" s="5">
        <v>28</v>
      </c>
      <c r="B39" s="3" t="s">
        <v>971</v>
      </c>
      <c r="C39" s="83">
        <v>1157</v>
      </c>
      <c r="D39" s="84">
        <v>49</v>
      </c>
      <c r="E39" s="85">
        <v>2</v>
      </c>
      <c r="F39" s="86">
        <v>4635021.79</v>
      </c>
    </row>
    <row r="40" spans="1:6" ht="20.25" x14ac:dyDescent="0.3">
      <c r="A40" s="5">
        <v>29</v>
      </c>
      <c r="B40" s="3" t="s">
        <v>969</v>
      </c>
      <c r="C40" s="87">
        <v>407.9</v>
      </c>
      <c r="D40" s="88">
        <v>24</v>
      </c>
      <c r="E40" s="85">
        <v>1</v>
      </c>
      <c r="F40" s="86">
        <v>1547699.36</v>
      </c>
    </row>
    <row r="41" spans="1:6" ht="20.25" x14ac:dyDescent="0.3">
      <c r="A41" s="5">
        <v>30</v>
      </c>
      <c r="B41" s="3" t="s">
        <v>972</v>
      </c>
      <c r="C41" s="86">
        <v>1735.8</v>
      </c>
      <c r="D41" s="85">
        <v>61</v>
      </c>
      <c r="E41" s="85">
        <v>3</v>
      </c>
      <c r="F41" s="86">
        <v>5905191.6600000001</v>
      </c>
    </row>
    <row r="42" spans="1:6" ht="20.25" x14ac:dyDescent="0.3">
      <c r="A42" s="5">
        <v>31</v>
      </c>
      <c r="B42" s="3" t="s">
        <v>1008</v>
      </c>
      <c r="C42" s="83">
        <v>829.4</v>
      </c>
      <c r="D42" s="84">
        <v>24</v>
      </c>
      <c r="E42" s="85">
        <v>1</v>
      </c>
      <c r="F42" s="86">
        <v>3230853.85</v>
      </c>
    </row>
    <row r="43" spans="1:6" ht="20.25" x14ac:dyDescent="0.3">
      <c r="A43" s="5">
        <v>32</v>
      </c>
      <c r="B43" s="3" t="s">
        <v>973</v>
      </c>
      <c r="C43" s="83">
        <v>18010.5</v>
      </c>
      <c r="D43" s="84">
        <v>545</v>
      </c>
      <c r="E43" s="85">
        <v>7</v>
      </c>
      <c r="F43" s="86">
        <v>27573659.800000004</v>
      </c>
    </row>
    <row r="44" spans="1:6" ht="20.25" x14ac:dyDescent="0.3">
      <c r="A44" s="5">
        <v>33</v>
      </c>
      <c r="B44" s="3" t="s">
        <v>974</v>
      </c>
      <c r="C44" s="83">
        <v>613</v>
      </c>
      <c r="D44" s="84">
        <v>33</v>
      </c>
      <c r="E44" s="85">
        <v>1</v>
      </c>
      <c r="F44" s="86">
        <v>3075675.26</v>
      </c>
    </row>
    <row r="45" spans="1:6" ht="20.25" x14ac:dyDescent="0.3">
      <c r="A45" s="5">
        <v>34</v>
      </c>
      <c r="B45" s="3" t="s">
        <v>1009</v>
      </c>
      <c r="C45" s="83">
        <v>320</v>
      </c>
      <c r="D45" s="84">
        <v>21</v>
      </c>
      <c r="E45" s="85">
        <v>1</v>
      </c>
      <c r="F45" s="86">
        <v>522383.64</v>
      </c>
    </row>
    <row r="46" spans="1:6" ht="20.25" x14ac:dyDescent="0.3">
      <c r="A46" s="5">
        <v>35</v>
      </c>
      <c r="B46" s="3" t="s">
        <v>976</v>
      </c>
      <c r="C46" s="86">
        <v>6463.98</v>
      </c>
      <c r="D46" s="85">
        <v>243</v>
      </c>
      <c r="E46" s="85">
        <v>5</v>
      </c>
      <c r="F46" s="86">
        <v>18085413.109999999</v>
      </c>
    </row>
    <row r="47" spans="1:6" ht="20.25" x14ac:dyDescent="0.3">
      <c r="A47" s="5">
        <v>36</v>
      </c>
      <c r="B47" s="3" t="s">
        <v>979</v>
      </c>
      <c r="C47" s="83">
        <v>2767.4</v>
      </c>
      <c r="D47" s="84">
        <v>148</v>
      </c>
      <c r="E47" s="85">
        <v>1</v>
      </c>
      <c r="F47" s="86">
        <v>5141890.2</v>
      </c>
    </row>
    <row r="48" spans="1:6" ht="20.25" x14ac:dyDescent="0.3">
      <c r="A48" s="5">
        <v>37</v>
      </c>
      <c r="B48" s="3" t="s">
        <v>985</v>
      </c>
      <c r="C48" s="83">
        <v>8635.3499999999985</v>
      </c>
      <c r="D48" s="84">
        <v>331</v>
      </c>
      <c r="E48" s="85">
        <v>2</v>
      </c>
      <c r="F48" s="86">
        <v>10283645.739999998</v>
      </c>
    </row>
    <row r="49" spans="1:6" ht="20.25" x14ac:dyDescent="0.3">
      <c r="A49" s="5">
        <v>38</v>
      </c>
      <c r="B49" s="3" t="s">
        <v>980</v>
      </c>
      <c r="C49" s="83">
        <v>21899.05</v>
      </c>
      <c r="D49" s="84">
        <v>1008</v>
      </c>
      <c r="E49" s="85">
        <v>8</v>
      </c>
      <c r="F49" s="86">
        <v>38102188.490000002</v>
      </c>
    </row>
    <row r="50" spans="1:6" ht="20.25" x14ac:dyDescent="0.3">
      <c r="A50" s="5">
        <v>39</v>
      </c>
      <c r="B50" s="3" t="s">
        <v>981</v>
      </c>
      <c r="C50" s="83">
        <v>5121.21</v>
      </c>
      <c r="D50" s="84">
        <v>162</v>
      </c>
      <c r="E50" s="85">
        <v>5</v>
      </c>
      <c r="F50" s="86">
        <v>12935472.42</v>
      </c>
    </row>
    <row r="51" spans="1:6" ht="20.25" x14ac:dyDescent="0.3">
      <c r="A51" s="5">
        <v>40</v>
      </c>
      <c r="B51" s="3" t="s">
        <v>982</v>
      </c>
      <c r="C51" s="83">
        <v>676.5</v>
      </c>
      <c r="D51" s="84">
        <v>32</v>
      </c>
      <c r="E51" s="85">
        <v>1</v>
      </c>
      <c r="F51" s="86">
        <v>2374695.6799999997</v>
      </c>
    </row>
    <row r="52" spans="1:6" ht="20.25" x14ac:dyDescent="0.3">
      <c r="A52" s="5">
        <v>41</v>
      </c>
      <c r="B52" s="3" t="s">
        <v>984</v>
      </c>
      <c r="C52" s="83">
        <v>14074.8</v>
      </c>
      <c r="D52" s="84">
        <v>602</v>
      </c>
      <c r="E52" s="85">
        <v>9</v>
      </c>
      <c r="F52" s="86">
        <v>30416442.670000002</v>
      </c>
    </row>
    <row r="53" spans="1:6" ht="20.25" x14ac:dyDescent="0.3">
      <c r="A53" s="5">
        <v>42</v>
      </c>
      <c r="B53" s="3" t="s">
        <v>1012</v>
      </c>
      <c r="C53" s="83">
        <v>609.5</v>
      </c>
      <c r="D53" s="84">
        <v>16</v>
      </c>
      <c r="E53" s="85">
        <v>1</v>
      </c>
      <c r="F53" s="86">
        <v>2521615.3599999999</v>
      </c>
    </row>
    <row r="54" spans="1:6" ht="20.25" x14ac:dyDescent="0.3">
      <c r="A54" s="5">
        <v>43</v>
      </c>
      <c r="B54" s="3" t="s">
        <v>986</v>
      </c>
      <c r="C54" s="83">
        <v>940.6</v>
      </c>
      <c r="D54" s="84">
        <v>33</v>
      </c>
      <c r="E54" s="85">
        <v>1</v>
      </c>
      <c r="F54" s="86">
        <v>4438530</v>
      </c>
    </row>
    <row r="55" spans="1:6" ht="20.25" x14ac:dyDescent="0.3">
      <c r="A55" s="5">
        <v>44</v>
      </c>
      <c r="B55" s="3" t="s">
        <v>1024</v>
      </c>
      <c r="C55" s="86">
        <v>320</v>
      </c>
      <c r="D55" s="85">
        <v>19</v>
      </c>
      <c r="E55" s="85">
        <v>1</v>
      </c>
      <c r="F55" s="86">
        <v>1540431</v>
      </c>
    </row>
    <row r="56" spans="1:6" ht="20.25" x14ac:dyDescent="0.3">
      <c r="A56" s="5">
        <v>45</v>
      </c>
      <c r="B56" s="3" t="s">
        <v>1470</v>
      </c>
      <c r="C56" s="86">
        <v>953.9</v>
      </c>
      <c r="D56" s="85">
        <v>28</v>
      </c>
      <c r="E56" s="85">
        <v>1</v>
      </c>
      <c r="F56" s="86">
        <v>4609049.76</v>
      </c>
    </row>
    <row r="57" spans="1:6" ht="20.25" x14ac:dyDescent="0.3">
      <c r="A57" s="5">
        <v>46</v>
      </c>
      <c r="B57" s="3" t="s">
        <v>1013</v>
      </c>
      <c r="C57" s="86">
        <v>1446.38</v>
      </c>
      <c r="D57" s="85">
        <v>93</v>
      </c>
      <c r="E57" s="85">
        <v>1</v>
      </c>
      <c r="F57" s="86">
        <v>5368567.4000000004</v>
      </c>
    </row>
    <row r="58" spans="1:6" ht="20.25" x14ac:dyDescent="0.3">
      <c r="A58" s="5">
        <v>47</v>
      </c>
      <c r="B58" s="3" t="s">
        <v>1025</v>
      </c>
      <c r="C58" s="86">
        <v>676.3</v>
      </c>
      <c r="D58" s="85">
        <v>33</v>
      </c>
      <c r="E58" s="85">
        <v>1</v>
      </c>
      <c r="F58" s="86">
        <v>2682382.0500000003</v>
      </c>
    </row>
    <row r="59" spans="1:6" ht="20.25" x14ac:dyDescent="0.3">
      <c r="A59" s="5">
        <v>48</v>
      </c>
      <c r="B59" s="3" t="s">
        <v>989</v>
      </c>
      <c r="C59" s="83">
        <v>3562.6800000000003</v>
      </c>
      <c r="D59" s="84">
        <v>153</v>
      </c>
      <c r="E59" s="85">
        <v>6</v>
      </c>
      <c r="F59" s="86">
        <v>10870670.800000001</v>
      </c>
    </row>
    <row r="60" spans="1:6" ht="20.25" x14ac:dyDescent="0.3">
      <c r="A60" s="5">
        <v>49</v>
      </c>
      <c r="B60" s="3" t="s">
        <v>1015</v>
      </c>
      <c r="C60" s="87">
        <v>29167.26</v>
      </c>
      <c r="D60" s="88">
        <v>1018</v>
      </c>
      <c r="E60" s="85">
        <v>8</v>
      </c>
      <c r="F60" s="86">
        <v>27720330.040000003</v>
      </c>
    </row>
    <row r="61" spans="1:6" ht="20.25" x14ac:dyDescent="0.3">
      <c r="A61" s="5">
        <v>50</v>
      </c>
      <c r="B61" s="3" t="s">
        <v>991</v>
      </c>
      <c r="C61" s="86">
        <v>33276.850000000006</v>
      </c>
      <c r="D61" s="85">
        <v>1281</v>
      </c>
      <c r="E61" s="85">
        <v>8</v>
      </c>
      <c r="F61" s="86">
        <f>38448201.07-0.05</f>
        <v>38448201.020000003</v>
      </c>
    </row>
    <row r="62" spans="1:6" ht="20.25" x14ac:dyDescent="0.3">
      <c r="A62" s="5">
        <v>51</v>
      </c>
      <c r="B62" s="3" t="s">
        <v>1471</v>
      </c>
      <c r="C62" s="83">
        <v>2492.1400000000003</v>
      </c>
      <c r="D62" s="84">
        <v>79</v>
      </c>
      <c r="E62" s="85">
        <v>2</v>
      </c>
      <c r="F62" s="86">
        <v>3578286.6899999995</v>
      </c>
    </row>
    <row r="63" spans="1:6" ht="20.25" x14ac:dyDescent="0.3">
      <c r="A63" s="5">
        <v>52</v>
      </c>
      <c r="B63" s="3" t="s">
        <v>1468</v>
      </c>
      <c r="C63" s="83">
        <v>970.5</v>
      </c>
      <c r="D63" s="84">
        <v>38</v>
      </c>
      <c r="E63" s="85">
        <v>1</v>
      </c>
      <c r="F63" s="86">
        <v>467593.97</v>
      </c>
    </row>
    <row r="64" spans="1:6" ht="20.25" x14ac:dyDescent="0.3">
      <c r="A64" s="5">
        <v>53</v>
      </c>
      <c r="B64" s="3" t="s">
        <v>992</v>
      </c>
      <c r="C64" s="83">
        <v>3040.6</v>
      </c>
      <c r="D64" s="84">
        <v>115</v>
      </c>
      <c r="E64" s="85">
        <v>5</v>
      </c>
      <c r="F64" s="86">
        <v>10960961.029999999</v>
      </c>
    </row>
    <row r="65" spans="1:10" ht="20.25" x14ac:dyDescent="0.3">
      <c r="A65" s="5">
        <v>54</v>
      </c>
      <c r="B65" s="3" t="s">
        <v>993</v>
      </c>
      <c r="C65" s="83">
        <v>1191.0999999999999</v>
      </c>
      <c r="D65" s="84">
        <v>31</v>
      </c>
      <c r="E65" s="85">
        <v>1</v>
      </c>
      <c r="F65" s="86">
        <v>3314280.82</v>
      </c>
    </row>
    <row r="66" spans="1:10" ht="20.25" x14ac:dyDescent="0.3">
      <c r="A66" s="5">
        <v>55</v>
      </c>
      <c r="B66" s="3" t="s">
        <v>994</v>
      </c>
      <c r="C66" s="86">
        <v>706</v>
      </c>
      <c r="D66" s="85">
        <v>41</v>
      </c>
      <c r="E66" s="85">
        <v>1</v>
      </c>
      <c r="F66" s="86">
        <v>3133080</v>
      </c>
    </row>
    <row r="67" spans="1:10" ht="20.25" x14ac:dyDescent="0.3">
      <c r="A67" s="5">
        <v>56</v>
      </c>
      <c r="B67" s="3" t="s">
        <v>995</v>
      </c>
      <c r="C67" s="83">
        <v>2004.4</v>
      </c>
      <c r="D67" s="84">
        <v>67</v>
      </c>
      <c r="E67" s="85">
        <v>1</v>
      </c>
      <c r="F67" s="86">
        <v>5968517.3999999994</v>
      </c>
    </row>
    <row r="68" spans="1:10" ht="20.25" x14ac:dyDescent="0.3">
      <c r="A68" s="5">
        <v>57</v>
      </c>
      <c r="B68" s="3" t="s">
        <v>1017</v>
      </c>
      <c r="C68" s="83">
        <v>702.7</v>
      </c>
      <c r="D68" s="84">
        <v>34</v>
      </c>
      <c r="E68" s="85">
        <v>1</v>
      </c>
      <c r="F68" s="86">
        <v>3253210.4899999998</v>
      </c>
    </row>
    <row r="69" spans="1:10" ht="20.25" x14ac:dyDescent="0.3">
      <c r="A69" s="5">
        <v>58</v>
      </c>
      <c r="B69" s="3" t="s">
        <v>1472</v>
      </c>
      <c r="C69" s="83">
        <v>853.8</v>
      </c>
      <c r="D69" s="84">
        <v>38</v>
      </c>
      <c r="E69" s="85">
        <v>1</v>
      </c>
      <c r="F69" s="86">
        <v>2309984.35</v>
      </c>
    </row>
    <row r="70" spans="1:10" ht="20.25" x14ac:dyDescent="0.3">
      <c r="A70" s="5">
        <v>59</v>
      </c>
      <c r="B70" s="3" t="s">
        <v>996</v>
      </c>
      <c r="C70" s="83">
        <v>3456.2</v>
      </c>
      <c r="D70" s="84">
        <v>132</v>
      </c>
      <c r="E70" s="85">
        <v>6</v>
      </c>
      <c r="F70" s="86">
        <v>13199067.600000001</v>
      </c>
    </row>
    <row r="71" spans="1:10" ht="20.25" x14ac:dyDescent="0.3">
      <c r="A71" s="5">
        <v>60</v>
      </c>
      <c r="B71" s="3" t="s">
        <v>997</v>
      </c>
      <c r="C71" s="83">
        <v>1755.2</v>
      </c>
      <c r="D71" s="84">
        <v>63</v>
      </c>
      <c r="E71" s="85">
        <v>1</v>
      </c>
      <c r="F71" s="86">
        <v>4896000</v>
      </c>
    </row>
    <row r="72" spans="1:10" ht="20.25" x14ac:dyDescent="0.3">
      <c r="A72" s="5">
        <v>61</v>
      </c>
      <c r="B72" s="3" t="s">
        <v>1018</v>
      </c>
      <c r="C72" s="83">
        <v>729.9</v>
      </c>
      <c r="D72" s="84">
        <v>37</v>
      </c>
      <c r="E72" s="85">
        <v>1</v>
      </c>
      <c r="F72" s="86">
        <v>3170281.3600000003</v>
      </c>
    </row>
    <row r="73" spans="1:10" ht="20.25" x14ac:dyDescent="0.3">
      <c r="A73" s="5">
        <v>62</v>
      </c>
      <c r="B73" s="3" t="s">
        <v>998</v>
      </c>
      <c r="C73" s="83">
        <v>428.4</v>
      </c>
      <c r="D73" s="84">
        <v>20</v>
      </c>
      <c r="E73" s="85">
        <v>1</v>
      </c>
      <c r="F73" s="86">
        <v>2706247</v>
      </c>
    </row>
    <row r="74" spans="1:10" ht="20.25" x14ac:dyDescent="0.3">
      <c r="A74" s="5">
        <v>63</v>
      </c>
      <c r="B74" s="3" t="s">
        <v>1000</v>
      </c>
      <c r="C74" s="83">
        <v>10024</v>
      </c>
      <c r="D74" s="84">
        <v>483</v>
      </c>
      <c r="E74" s="85">
        <v>6</v>
      </c>
      <c r="F74" s="86">
        <v>17095245.41</v>
      </c>
    </row>
    <row r="75" spans="1:10" ht="20.25" x14ac:dyDescent="0.3">
      <c r="A75" s="5">
        <v>64</v>
      </c>
      <c r="B75" s="3" t="s">
        <v>1001</v>
      </c>
      <c r="C75" s="83">
        <v>3295.2</v>
      </c>
      <c r="D75" s="84">
        <v>81</v>
      </c>
      <c r="E75" s="85">
        <v>5</v>
      </c>
      <c r="F75" s="86">
        <v>7944432.1499999994</v>
      </c>
    </row>
    <row r="76" spans="1:10" ht="20.25" x14ac:dyDescent="0.3">
      <c r="A76" s="5">
        <v>65</v>
      </c>
      <c r="B76" s="3" t="s">
        <v>1026</v>
      </c>
      <c r="C76" s="83">
        <v>1634.9</v>
      </c>
      <c r="D76" s="84">
        <v>75</v>
      </c>
      <c r="E76" s="85">
        <v>3</v>
      </c>
      <c r="F76" s="86">
        <v>926720.65000000014</v>
      </c>
    </row>
    <row r="77" spans="1:10" ht="20.25" x14ac:dyDescent="0.3">
      <c r="A77" s="5">
        <v>66</v>
      </c>
      <c r="B77" s="3" t="s">
        <v>1019</v>
      </c>
      <c r="C77" s="83">
        <v>317.39999999999998</v>
      </c>
      <c r="D77" s="84">
        <v>17</v>
      </c>
      <c r="E77" s="85">
        <v>1</v>
      </c>
      <c r="F77" s="86">
        <v>1428000</v>
      </c>
    </row>
    <row r="78" spans="1:10" ht="20.25" x14ac:dyDescent="0.3">
      <c r="A78" s="5">
        <v>67</v>
      </c>
      <c r="B78" s="3" t="s">
        <v>1473</v>
      </c>
      <c r="C78" s="83">
        <v>642</v>
      </c>
      <c r="D78" s="84">
        <v>17</v>
      </c>
      <c r="E78" s="85">
        <v>1</v>
      </c>
      <c r="F78" s="86">
        <v>2199640.42</v>
      </c>
    </row>
    <row r="79" spans="1:10" ht="20.25" x14ac:dyDescent="0.3">
      <c r="A79" s="3" t="s">
        <v>804</v>
      </c>
      <c r="B79" s="3"/>
      <c r="C79" s="83">
        <f>SUM(C80:C135)</f>
        <v>808368.1100000001</v>
      </c>
      <c r="D79" s="84">
        <f t="shared" ref="D79:F79" si="1">SUM(D80:D135)</f>
        <v>31015</v>
      </c>
      <c r="E79" s="85">
        <f t="shared" si="1"/>
        <v>303</v>
      </c>
      <c r="F79" s="83">
        <f t="shared" si="1"/>
        <v>799016824.95999992</v>
      </c>
    </row>
    <row r="80" spans="1:10" ht="20.25" x14ac:dyDescent="0.3">
      <c r="A80" s="5">
        <v>1</v>
      </c>
      <c r="B80" s="3" t="s">
        <v>1040</v>
      </c>
      <c r="C80" s="83">
        <v>404972.00000000006</v>
      </c>
      <c r="D80" s="84">
        <v>16239</v>
      </c>
      <c r="E80" s="85">
        <v>112</v>
      </c>
      <c r="F80" s="86">
        <v>225509821.20999989</v>
      </c>
      <c r="H80" s="7">
        <v>209231.22999999995</v>
      </c>
      <c r="I80" s="7">
        <v>8552</v>
      </c>
      <c r="J80" s="7">
        <v>216853215.43000004</v>
      </c>
    </row>
    <row r="81" spans="1:10" ht="20.25" x14ac:dyDescent="0.3">
      <c r="A81" s="5">
        <v>2</v>
      </c>
      <c r="B81" s="3" t="s">
        <v>945</v>
      </c>
      <c r="C81" s="83">
        <v>19752.900000000001</v>
      </c>
      <c r="D81" s="84">
        <v>832</v>
      </c>
      <c r="E81" s="85">
        <v>12</v>
      </c>
      <c r="F81" s="86">
        <v>45254826.330000006</v>
      </c>
      <c r="H81" s="7">
        <v>15519.199999999999</v>
      </c>
      <c r="I81" s="7">
        <v>787</v>
      </c>
      <c r="J81" s="7">
        <v>45048314.759999998</v>
      </c>
    </row>
    <row r="82" spans="1:10" ht="20.25" x14ac:dyDescent="0.3">
      <c r="A82" s="5">
        <v>3</v>
      </c>
      <c r="B82" s="3" t="s">
        <v>946</v>
      </c>
      <c r="C82" s="83">
        <v>101227.12999999998</v>
      </c>
      <c r="D82" s="84">
        <v>4156</v>
      </c>
      <c r="E82" s="85">
        <v>55</v>
      </c>
      <c r="F82" s="86">
        <v>95396897.950000003</v>
      </c>
      <c r="H82" s="7">
        <v>55253.150000000009</v>
      </c>
      <c r="I82" s="7">
        <v>2316</v>
      </c>
      <c r="J82" s="7">
        <v>91626897.959999993</v>
      </c>
    </row>
    <row r="83" spans="1:10" ht="20.25" x14ac:dyDescent="0.3">
      <c r="A83" s="5">
        <v>4</v>
      </c>
      <c r="B83" s="3" t="s">
        <v>1002</v>
      </c>
      <c r="C83" s="83">
        <v>72887.22</v>
      </c>
      <c r="D83" s="84">
        <v>2378</v>
      </c>
      <c r="E83" s="85">
        <v>20</v>
      </c>
      <c r="F83" s="86">
        <v>45207673.119999997</v>
      </c>
      <c r="H83" s="7">
        <v>26773.05</v>
      </c>
      <c r="I83" s="7">
        <v>869</v>
      </c>
      <c r="J83" s="7">
        <v>44137673.120000005</v>
      </c>
    </row>
    <row r="84" spans="1:10" ht="20.25" x14ac:dyDescent="0.3">
      <c r="A84" s="5">
        <v>5</v>
      </c>
      <c r="B84" s="3" t="s">
        <v>948</v>
      </c>
      <c r="C84" s="83">
        <v>16666.5</v>
      </c>
      <c r="D84" s="84">
        <v>711</v>
      </c>
      <c r="E84" s="85">
        <v>3</v>
      </c>
      <c r="F84" s="86">
        <v>21856214.649999999</v>
      </c>
      <c r="H84" s="7">
        <v>13712.7</v>
      </c>
      <c r="I84" s="7">
        <v>336</v>
      </c>
      <c r="J84" s="7">
        <v>21856214.650000002</v>
      </c>
    </row>
    <row r="85" spans="1:10" ht="20.25" x14ac:dyDescent="0.3">
      <c r="A85" s="5">
        <v>6</v>
      </c>
      <c r="B85" s="3" t="s">
        <v>949</v>
      </c>
      <c r="C85" s="83">
        <v>31038.930000000004</v>
      </c>
      <c r="D85" s="84">
        <v>1084</v>
      </c>
      <c r="E85" s="85">
        <v>12</v>
      </c>
      <c r="F85" s="86">
        <v>51168217.759999998</v>
      </c>
      <c r="H85" s="7">
        <v>45913.430000000008</v>
      </c>
      <c r="I85" s="7">
        <v>1959</v>
      </c>
      <c r="J85" s="7">
        <v>51679396.32</v>
      </c>
    </row>
    <row r="86" spans="1:10" ht="20.25" x14ac:dyDescent="0.3">
      <c r="A86" s="5">
        <v>7</v>
      </c>
      <c r="B86" s="3" t="s">
        <v>950</v>
      </c>
      <c r="C86" s="83">
        <v>12179.5</v>
      </c>
      <c r="D86" s="84">
        <v>420</v>
      </c>
      <c r="E86" s="85">
        <v>2</v>
      </c>
      <c r="F86" s="86">
        <v>10075097.600000001</v>
      </c>
      <c r="H86" s="7">
        <v>11170.900000000001</v>
      </c>
      <c r="I86" s="7">
        <v>305</v>
      </c>
      <c r="J86" s="7">
        <v>9890638.1399999987</v>
      </c>
    </row>
    <row r="87" spans="1:10" ht="20.25" x14ac:dyDescent="0.3">
      <c r="A87" s="5">
        <v>8</v>
      </c>
      <c r="B87" s="3" t="s">
        <v>951</v>
      </c>
      <c r="C87" s="83">
        <v>3741.9999999999995</v>
      </c>
      <c r="D87" s="84">
        <v>153</v>
      </c>
      <c r="E87" s="85">
        <v>4</v>
      </c>
      <c r="F87" s="86">
        <v>13069363.829999998</v>
      </c>
      <c r="H87" s="7">
        <v>4408.6000000000004</v>
      </c>
      <c r="I87" s="7">
        <v>120</v>
      </c>
      <c r="J87" s="7">
        <v>11422752.699999999</v>
      </c>
    </row>
    <row r="88" spans="1:10" ht="20.25" x14ac:dyDescent="0.3">
      <c r="A88" s="5">
        <v>9</v>
      </c>
      <c r="B88" s="3" t="s">
        <v>952</v>
      </c>
      <c r="C88" s="83">
        <v>4328.05</v>
      </c>
      <c r="D88" s="84">
        <v>121</v>
      </c>
      <c r="E88" s="85">
        <v>2</v>
      </c>
      <c r="F88" s="86">
        <v>8160423</v>
      </c>
      <c r="H88" s="7">
        <v>8897</v>
      </c>
      <c r="I88" s="7">
        <v>313</v>
      </c>
      <c r="J88" s="7">
        <v>9642280</v>
      </c>
    </row>
    <row r="89" spans="1:10" ht="20.25" x14ac:dyDescent="0.3">
      <c r="A89" s="5">
        <v>10</v>
      </c>
      <c r="B89" s="3" t="s">
        <v>953</v>
      </c>
      <c r="C89" s="83">
        <v>3295</v>
      </c>
      <c r="D89" s="84">
        <v>127</v>
      </c>
      <c r="E89" s="85">
        <v>2</v>
      </c>
      <c r="F89" s="86">
        <v>3875920.4000000004</v>
      </c>
      <c r="H89" s="7">
        <v>804.5</v>
      </c>
      <c r="I89" s="7">
        <v>47</v>
      </c>
      <c r="J89" s="7">
        <v>4369866.08</v>
      </c>
    </row>
    <row r="90" spans="1:10" ht="20.25" x14ac:dyDescent="0.3">
      <c r="A90" s="5">
        <v>11</v>
      </c>
      <c r="B90" s="3" t="s">
        <v>955</v>
      </c>
      <c r="C90" s="83">
        <v>983.7</v>
      </c>
      <c r="D90" s="84">
        <v>39</v>
      </c>
      <c r="E90" s="85">
        <v>2</v>
      </c>
      <c r="F90" s="86">
        <v>3008567.42</v>
      </c>
      <c r="H90" s="7">
        <v>1070.8</v>
      </c>
      <c r="I90" s="7">
        <v>42</v>
      </c>
      <c r="J90" s="7">
        <v>2936950.21</v>
      </c>
    </row>
    <row r="91" spans="1:10" ht="20.25" x14ac:dyDescent="0.3">
      <c r="A91" s="5">
        <v>12</v>
      </c>
      <c r="B91" s="3" t="s">
        <v>1003</v>
      </c>
      <c r="C91" s="83">
        <v>618.29999999999995</v>
      </c>
      <c r="D91" s="84">
        <v>30</v>
      </c>
      <c r="E91" s="85">
        <v>1</v>
      </c>
      <c r="F91" s="86">
        <v>3080948</v>
      </c>
      <c r="H91" s="7">
        <v>1426.8</v>
      </c>
      <c r="I91" s="7">
        <v>72</v>
      </c>
      <c r="J91" s="7">
        <v>2773728.46</v>
      </c>
    </row>
    <row r="92" spans="1:10" ht="20.25" x14ac:dyDescent="0.3">
      <c r="A92" s="5">
        <v>13</v>
      </c>
      <c r="B92" s="3" t="s">
        <v>957</v>
      </c>
      <c r="C92" s="83">
        <v>3156.2</v>
      </c>
      <c r="D92" s="84">
        <v>156</v>
      </c>
      <c r="E92" s="85">
        <v>1</v>
      </c>
      <c r="F92" s="86">
        <v>2000000</v>
      </c>
      <c r="H92" s="7">
        <v>456.6</v>
      </c>
      <c r="I92" s="7">
        <v>26</v>
      </c>
      <c r="J92" s="7">
        <v>2158336.3499999996</v>
      </c>
    </row>
    <row r="93" spans="1:10" ht="20.25" x14ac:dyDescent="0.3">
      <c r="A93" s="5">
        <v>14</v>
      </c>
      <c r="B93" s="3" t="s">
        <v>958</v>
      </c>
      <c r="C93" s="83">
        <v>16441</v>
      </c>
      <c r="D93" s="84">
        <v>486</v>
      </c>
      <c r="E93" s="85">
        <v>6</v>
      </c>
      <c r="F93" s="86">
        <v>23342012.82</v>
      </c>
      <c r="H93" s="7">
        <v>3374.6</v>
      </c>
      <c r="I93" s="7">
        <v>144</v>
      </c>
      <c r="J93" s="7">
        <v>2000000</v>
      </c>
    </row>
    <row r="94" spans="1:10" ht="20.25" x14ac:dyDescent="0.3">
      <c r="A94" s="5">
        <v>15</v>
      </c>
      <c r="B94" s="3" t="s">
        <v>959</v>
      </c>
      <c r="C94" s="83">
        <v>5350.31</v>
      </c>
      <c r="D94" s="84">
        <v>213</v>
      </c>
      <c r="E94" s="85">
        <v>2</v>
      </c>
      <c r="F94" s="86">
        <v>11973050.91</v>
      </c>
      <c r="H94" s="7">
        <v>13638.6</v>
      </c>
      <c r="I94" s="7">
        <v>299</v>
      </c>
      <c r="J94" s="7">
        <v>23342011.919999998</v>
      </c>
    </row>
    <row r="95" spans="1:10" ht="20.25" x14ac:dyDescent="0.3">
      <c r="A95" s="5">
        <v>16</v>
      </c>
      <c r="B95" s="3" t="s">
        <v>1474</v>
      </c>
      <c r="C95" s="83">
        <v>1322.4</v>
      </c>
      <c r="D95" s="84">
        <v>36</v>
      </c>
      <c r="E95" s="85">
        <v>1</v>
      </c>
      <c r="F95" s="86">
        <v>3284631.43</v>
      </c>
      <c r="H95" s="7">
        <v>5759.0999999999995</v>
      </c>
      <c r="I95" s="7">
        <v>215</v>
      </c>
      <c r="J95" s="7">
        <v>12591900</v>
      </c>
    </row>
    <row r="96" spans="1:10" ht="20.25" x14ac:dyDescent="0.3">
      <c r="A96" s="5">
        <v>17</v>
      </c>
      <c r="B96" s="3" t="s">
        <v>1004</v>
      </c>
      <c r="C96" s="83">
        <v>924.3</v>
      </c>
      <c r="D96" s="84">
        <v>24</v>
      </c>
      <c r="E96" s="85">
        <v>1</v>
      </c>
      <c r="F96" s="86">
        <v>2255220</v>
      </c>
      <c r="H96" s="7">
        <v>396.2</v>
      </c>
      <c r="I96" s="7">
        <v>21</v>
      </c>
      <c r="J96" s="7">
        <v>1724820</v>
      </c>
    </row>
    <row r="97" spans="1:10" ht="20.25" x14ac:dyDescent="0.3">
      <c r="A97" s="5">
        <v>18</v>
      </c>
      <c r="B97" s="3" t="s">
        <v>1005</v>
      </c>
      <c r="C97" s="83">
        <v>622.4</v>
      </c>
      <c r="D97" s="84">
        <v>35</v>
      </c>
      <c r="E97" s="85">
        <v>1</v>
      </c>
      <c r="F97" s="86">
        <v>2610900</v>
      </c>
      <c r="H97" s="7">
        <v>1011.8</v>
      </c>
      <c r="I97" s="7">
        <v>26</v>
      </c>
      <c r="J97" s="7">
        <v>1739107.3499999999</v>
      </c>
    </row>
    <row r="98" spans="1:10" ht="20.25" x14ac:dyDescent="0.3">
      <c r="A98" s="5">
        <v>19</v>
      </c>
      <c r="B98" s="3" t="s">
        <v>1006</v>
      </c>
      <c r="C98" s="83">
        <v>531.9</v>
      </c>
      <c r="D98" s="84">
        <v>22</v>
      </c>
      <c r="E98" s="85">
        <v>1</v>
      </c>
      <c r="F98" s="86">
        <v>3133080</v>
      </c>
      <c r="H98" s="7">
        <v>594.20000000000005</v>
      </c>
      <c r="I98" s="7">
        <v>23</v>
      </c>
      <c r="J98" s="7">
        <v>3373804.98</v>
      </c>
    </row>
    <row r="99" spans="1:10" ht="20.25" x14ac:dyDescent="0.3">
      <c r="A99" s="5">
        <v>20</v>
      </c>
      <c r="B99" s="3" t="s">
        <v>964</v>
      </c>
      <c r="C99" s="83">
        <v>7845.75</v>
      </c>
      <c r="D99" s="84">
        <v>225</v>
      </c>
      <c r="E99" s="85">
        <v>1</v>
      </c>
      <c r="F99" s="86">
        <v>7250046.1200000001</v>
      </c>
      <c r="H99" s="7">
        <v>906.9</v>
      </c>
      <c r="I99" s="7">
        <v>32</v>
      </c>
      <c r="J99" s="7">
        <v>3916350</v>
      </c>
    </row>
    <row r="100" spans="1:10" ht="20.25" x14ac:dyDescent="0.3">
      <c r="A100" s="5">
        <v>21</v>
      </c>
      <c r="B100" s="3" t="s">
        <v>965</v>
      </c>
      <c r="C100" s="83">
        <v>550.20000000000005</v>
      </c>
      <c r="D100" s="84">
        <v>20</v>
      </c>
      <c r="E100" s="85">
        <v>1</v>
      </c>
      <c r="F100" s="86">
        <v>2259013.8299999996</v>
      </c>
      <c r="H100" s="7">
        <v>2184</v>
      </c>
      <c r="I100" s="7">
        <v>57</v>
      </c>
      <c r="J100" s="7">
        <v>3516578.96</v>
      </c>
    </row>
    <row r="101" spans="1:10" ht="20.25" x14ac:dyDescent="0.3">
      <c r="A101" s="5">
        <v>22</v>
      </c>
      <c r="B101" s="3" t="s">
        <v>1007</v>
      </c>
      <c r="C101" s="83">
        <v>1206.8</v>
      </c>
      <c r="D101" s="84">
        <v>30</v>
      </c>
      <c r="E101" s="85">
        <v>1</v>
      </c>
      <c r="F101" s="86">
        <v>2622646.19</v>
      </c>
      <c r="H101" s="7">
        <v>1069.5</v>
      </c>
      <c r="I101" s="7">
        <v>39</v>
      </c>
      <c r="J101" s="7">
        <v>3598749.4899999998</v>
      </c>
    </row>
    <row r="102" spans="1:10" ht="20.25" x14ac:dyDescent="0.3">
      <c r="A102" s="5">
        <v>23</v>
      </c>
      <c r="B102" s="3" t="s">
        <v>968</v>
      </c>
      <c r="C102" s="83">
        <v>14693.869999999999</v>
      </c>
      <c r="D102" s="84">
        <v>542</v>
      </c>
      <c r="E102" s="85">
        <v>8</v>
      </c>
      <c r="F102" s="86">
        <v>29283340</v>
      </c>
      <c r="H102" s="7">
        <v>630</v>
      </c>
      <c r="I102" s="7">
        <v>32</v>
      </c>
      <c r="J102" s="7">
        <v>3488946.79</v>
      </c>
    </row>
    <row r="103" spans="1:10" ht="20.25" x14ac:dyDescent="0.3">
      <c r="A103" s="5">
        <v>24</v>
      </c>
      <c r="B103" s="3" t="s">
        <v>972</v>
      </c>
      <c r="C103" s="83">
        <v>791.5</v>
      </c>
      <c r="D103" s="84">
        <v>42</v>
      </c>
      <c r="E103" s="85">
        <v>1</v>
      </c>
      <c r="F103" s="86">
        <v>3328825.5</v>
      </c>
      <c r="H103" s="7">
        <v>626.5</v>
      </c>
      <c r="I103" s="7">
        <v>23</v>
      </c>
      <c r="J103" s="7">
        <v>1538879.17</v>
      </c>
    </row>
    <row r="104" spans="1:10" ht="20.25" x14ac:dyDescent="0.3">
      <c r="A104" s="5">
        <v>25</v>
      </c>
      <c r="B104" s="3" t="s">
        <v>971</v>
      </c>
      <c r="C104" s="83">
        <v>910.90000000000009</v>
      </c>
      <c r="D104" s="84">
        <v>39</v>
      </c>
      <c r="E104" s="85">
        <v>2</v>
      </c>
      <c r="F104" s="86">
        <v>5279138.41</v>
      </c>
      <c r="H104" s="7">
        <v>20161.96</v>
      </c>
      <c r="I104" s="7">
        <v>621</v>
      </c>
      <c r="J104" s="7">
        <v>28415186.600000001</v>
      </c>
    </row>
    <row r="105" spans="1:10" ht="20.25" x14ac:dyDescent="0.3">
      <c r="A105" s="5">
        <v>26</v>
      </c>
      <c r="B105" s="3" t="s">
        <v>1008</v>
      </c>
      <c r="C105" s="83">
        <v>960.39</v>
      </c>
      <c r="D105" s="84">
        <v>48</v>
      </c>
      <c r="E105" s="85">
        <v>1</v>
      </c>
      <c r="F105" s="86">
        <v>4178956.32</v>
      </c>
      <c r="H105" s="7">
        <v>1573</v>
      </c>
      <c r="I105" s="7">
        <v>68</v>
      </c>
      <c r="J105" s="7">
        <v>5777967.8699999992</v>
      </c>
    </row>
    <row r="106" spans="1:10" ht="20.25" x14ac:dyDescent="0.3">
      <c r="A106" s="5">
        <v>27</v>
      </c>
      <c r="B106" s="3" t="s">
        <v>969</v>
      </c>
      <c r="C106" s="83">
        <v>388.8</v>
      </c>
      <c r="D106" s="84">
        <v>14</v>
      </c>
      <c r="E106" s="85">
        <v>1</v>
      </c>
      <c r="F106" s="86">
        <v>1889236.5</v>
      </c>
      <c r="H106" s="7">
        <v>1266.2</v>
      </c>
      <c r="I106" s="7">
        <v>52</v>
      </c>
      <c r="J106" s="7">
        <v>4715781.71</v>
      </c>
    </row>
    <row r="107" spans="1:10" ht="20.25" x14ac:dyDescent="0.3">
      <c r="A107" s="5">
        <v>28</v>
      </c>
      <c r="B107" s="3" t="s">
        <v>973</v>
      </c>
      <c r="C107" s="83">
        <v>3179.8</v>
      </c>
      <c r="D107" s="84">
        <v>106</v>
      </c>
      <c r="E107" s="85">
        <v>4</v>
      </c>
      <c r="F107" s="86">
        <v>10103503.050000001</v>
      </c>
      <c r="H107" s="7">
        <v>703.5</v>
      </c>
      <c r="I107" s="7">
        <v>36</v>
      </c>
      <c r="J107" s="7">
        <v>2590114.16</v>
      </c>
    </row>
    <row r="108" spans="1:10" ht="20.25" x14ac:dyDescent="0.3">
      <c r="A108" s="5">
        <v>29</v>
      </c>
      <c r="B108" s="3" t="s">
        <v>1009</v>
      </c>
      <c r="C108" s="83">
        <v>530.5</v>
      </c>
      <c r="D108" s="84">
        <v>25</v>
      </c>
      <c r="E108" s="85">
        <v>2</v>
      </c>
      <c r="F108" s="86">
        <v>2766932.97</v>
      </c>
      <c r="H108" s="7">
        <v>1217.2</v>
      </c>
      <c r="I108" s="7">
        <v>47</v>
      </c>
      <c r="J108" s="7">
        <v>1456533.11</v>
      </c>
    </row>
    <row r="109" spans="1:10" ht="20.25" x14ac:dyDescent="0.3">
      <c r="A109" s="5">
        <v>30</v>
      </c>
      <c r="B109" s="3" t="s">
        <v>1010</v>
      </c>
      <c r="C109" s="83">
        <v>654.5</v>
      </c>
      <c r="D109" s="84">
        <v>19</v>
      </c>
      <c r="E109" s="85">
        <v>1</v>
      </c>
      <c r="F109" s="86">
        <v>2568179.12</v>
      </c>
      <c r="H109" s="7">
        <v>1774</v>
      </c>
      <c r="I109" s="7">
        <v>80</v>
      </c>
      <c r="J109" s="7">
        <v>10290828.25</v>
      </c>
    </row>
    <row r="110" spans="1:10" ht="20.25" x14ac:dyDescent="0.3">
      <c r="A110" s="5">
        <v>31</v>
      </c>
      <c r="B110" s="3" t="s">
        <v>976</v>
      </c>
      <c r="C110" s="83">
        <v>1244.4000000000001</v>
      </c>
      <c r="D110" s="84">
        <v>34</v>
      </c>
      <c r="E110" s="85">
        <v>1</v>
      </c>
      <c r="F110" s="86">
        <v>2981647.8</v>
      </c>
      <c r="H110" s="7">
        <v>609</v>
      </c>
      <c r="I110" s="7">
        <v>31</v>
      </c>
      <c r="J110" s="7">
        <v>3013803.8600000003</v>
      </c>
    </row>
    <row r="111" spans="1:10" ht="20.25" x14ac:dyDescent="0.3">
      <c r="A111" s="5">
        <v>32</v>
      </c>
      <c r="B111" s="3" t="s">
        <v>1011</v>
      </c>
      <c r="C111" s="83">
        <v>948.2</v>
      </c>
      <c r="D111" s="84">
        <v>43</v>
      </c>
      <c r="E111" s="85">
        <v>1</v>
      </c>
      <c r="F111" s="86">
        <v>4290230.8800000008</v>
      </c>
      <c r="H111" s="7">
        <v>616</v>
      </c>
      <c r="I111" s="7">
        <v>21</v>
      </c>
      <c r="J111" s="7">
        <v>2036502</v>
      </c>
    </row>
    <row r="112" spans="1:10" ht="20.25" x14ac:dyDescent="0.3">
      <c r="A112" s="5">
        <v>33</v>
      </c>
      <c r="B112" s="3" t="s">
        <v>977</v>
      </c>
      <c r="C112" s="83">
        <v>779.2</v>
      </c>
      <c r="D112" s="84">
        <v>33</v>
      </c>
      <c r="E112" s="85">
        <v>1</v>
      </c>
      <c r="F112" s="86">
        <v>2903320.8000000003</v>
      </c>
      <c r="H112" s="7">
        <v>772.9</v>
      </c>
      <c r="I112" s="7">
        <v>32</v>
      </c>
      <c r="J112" s="7">
        <v>3592598.4</v>
      </c>
    </row>
    <row r="113" spans="1:10" ht="20.25" x14ac:dyDescent="0.3">
      <c r="A113" s="5">
        <v>34</v>
      </c>
      <c r="B113" s="3" t="s">
        <v>979</v>
      </c>
      <c r="C113" s="83">
        <v>1015.6</v>
      </c>
      <c r="D113" s="84">
        <v>47</v>
      </c>
      <c r="E113" s="85">
        <v>1</v>
      </c>
      <c r="F113" s="86">
        <v>3826397.3000000003</v>
      </c>
      <c r="H113" s="7">
        <v>976.3</v>
      </c>
      <c r="I113" s="7">
        <v>36</v>
      </c>
      <c r="J113" s="7">
        <v>4454195.3999999994</v>
      </c>
    </row>
    <row r="114" spans="1:10" ht="20.25" x14ac:dyDescent="0.3">
      <c r="A114" s="5">
        <v>35</v>
      </c>
      <c r="B114" s="3" t="s">
        <v>985</v>
      </c>
      <c r="C114" s="83">
        <v>5979.1</v>
      </c>
      <c r="D114" s="84">
        <v>217</v>
      </c>
      <c r="E114" s="85">
        <v>1</v>
      </c>
      <c r="F114" s="86">
        <v>5858309.4800000004</v>
      </c>
      <c r="H114" s="7">
        <v>781.7</v>
      </c>
      <c r="I114" s="7">
        <v>25</v>
      </c>
      <c r="J114" s="7">
        <v>4839701.7600000007</v>
      </c>
    </row>
    <row r="115" spans="1:10" ht="20.25" x14ac:dyDescent="0.3">
      <c r="A115" s="5">
        <v>36</v>
      </c>
      <c r="B115" s="3" t="s">
        <v>1012</v>
      </c>
      <c r="C115" s="83">
        <v>822.2</v>
      </c>
      <c r="D115" s="84">
        <v>34</v>
      </c>
      <c r="E115" s="85">
        <v>1</v>
      </c>
      <c r="F115" s="86">
        <v>3274450.4</v>
      </c>
      <c r="H115" s="7">
        <v>792.9</v>
      </c>
      <c r="I115" s="7">
        <v>42</v>
      </c>
      <c r="J115" s="7">
        <v>3231458.3</v>
      </c>
    </row>
    <row r="116" spans="1:10" ht="20.25" x14ac:dyDescent="0.3">
      <c r="A116" s="5">
        <v>37</v>
      </c>
      <c r="B116" s="3" t="s">
        <v>980</v>
      </c>
      <c r="C116" s="83">
        <v>5287.69</v>
      </c>
      <c r="D116" s="84">
        <v>232</v>
      </c>
      <c r="E116" s="85">
        <v>2</v>
      </c>
      <c r="F116" s="86">
        <v>8667488.9900000002</v>
      </c>
      <c r="H116" s="7">
        <v>9443</v>
      </c>
      <c r="I116" s="7">
        <v>371</v>
      </c>
      <c r="J116" s="7">
        <v>16849360.93</v>
      </c>
    </row>
    <row r="117" spans="1:10" ht="20.25" x14ac:dyDescent="0.3">
      <c r="A117" s="5">
        <v>38</v>
      </c>
      <c r="B117" s="3" t="s">
        <v>981</v>
      </c>
      <c r="C117" s="83">
        <v>5889.36</v>
      </c>
      <c r="D117" s="84">
        <v>172</v>
      </c>
      <c r="E117" s="85">
        <v>1</v>
      </c>
      <c r="F117" s="86">
        <v>7408727.5099999998</v>
      </c>
      <c r="H117" s="7">
        <v>2168.41</v>
      </c>
      <c r="I117" s="7">
        <v>62</v>
      </c>
      <c r="J117" s="7">
        <v>3799734.79</v>
      </c>
    </row>
    <row r="118" spans="1:10" ht="20.25" x14ac:dyDescent="0.3">
      <c r="A118" s="5">
        <v>39</v>
      </c>
      <c r="B118" s="3" t="s">
        <v>982</v>
      </c>
      <c r="C118" s="83">
        <v>485.3</v>
      </c>
      <c r="D118" s="84">
        <v>24</v>
      </c>
      <c r="E118" s="85">
        <v>1</v>
      </c>
      <c r="F118" s="86">
        <v>2311215.4500000002</v>
      </c>
      <c r="H118" s="7">
        <v>780.3</v>
      </c>
      <c r="I118" s="7">
        <v>24</v>
      </c>
      <c r="J118" s="7">
        <v>2311215.4500000002</v>
      </c>
    </row>
    <row r="119" spans="1:10" ht="20.25" x14ac:dyDescent="0.3">
      <c r="A119" s="5">
        <v>40</v>
      </c>
      <c r="B119" s="3" t="s">
        <v>984</v>
      </c>
      <c r="C119" s="83">
        <v>4891.9000000000005</v>
      </c>
      <c r="D119" s="84">
        <v>172</v>
      </c>
      <c r="E119" s="85">
        <v>5</v>
      </c>
      <c r="F119" s="86">
        <v>16487311.32</v>
      </c>
      <c r="H119" s="7">
        <v>540.79999999999995</v>
      </c>
      <c r="I119" s="7">
        <v>15</v>
      </c>
      <c r="J119" s="7">
        <v>3215375.5700000003</v>
      </c>
    </row>
    <row r="120" spans="1:10" ht="20.25" x14ac:dyDescent="0.3">
      <c r="A120" s="5">
        <v>41</v>
      </c>
      <c r="B120" s="3" t="s">
        <v>986</v>
      </c>
      <c r="C120" s="83">
        <v>4053.7</v>
      </c>
      <c r="D120" s="84">
        <v>118</v>
      </c>
      <c r="E120" s="85">
        <v>2</v>
      </c>
      <c r="F120" s="86">
        <v>6032850.6600000001</v>
      </c>
      <c r="H120" s="7">
        <v>2550.6999999999998</v>
      </c>
      <c r="I120" s="7">
        <v>119</v>
      </c>
      <c r="J120" s="7">
        <v>10672314.84</v>
      </c>
    </row>
    <row r="121" spans="1:10" ht="20.25" x14ac:dyDescent="0.3">
      <c r="A121" s="5">
        <v>42</v>
      </c>
      <c r="B121" s="3" t="s">
        <v>1013</v>
      </c>
      <c r="C121" s="83">
        <v>545.34</v>
      </c>
      <c r="D121" s="84">
        <v>22</v>
      </c>
      <c r="E121" s="85">
        <v>1</v>
      </c>
      <c r="F121" s="86">
        <v>1799918.22</v>
      </c>
      <c r="H121" s="7">
        <v>5727.7</v>
      </c>
      <c r="I121" s="7">
        <v>188</v>
      </c>
      <c r="J121" s="7">
        <v>6053192.4699999997</v>
      </c>
    </row>
    <row r="122" spans="1:10" ht="20.25" x14ac:dyDescent="0.3">
      <c r="A122" s="5">
        <v>43</v>
      </c>
      <c r="B122" s="3" t="s">
        <v>1014</v>
      </c>
      <c r="C122" s="83">
        <v>2138.8000000000002</v>
      </c>
      <c r="D122" s="84">
        <v>56</v>
      </c>
      <c r="E122" s="85">
        <v>1</v>
      </c>
      <c r="F122" s="86">
        <v>3974620.0799999996</v>
      </c>
      <c r="H122" s="7">
        <v>1040.7</v>
      </c>
      <c r="I122" s="7">
        <v>44</v>
      </c>
      <c r="J122" s="7">
        <v>4804056</v>
      </c>
    </row>
    <row r="123" spans="1:10" ht="20.25" x14ac:dyDescent="0.3">
      <c r="A123" s="5">
        <v>44</v>
      </c>
      <c r="B123" s="3" t="s">
        <v>988</v>
      </c>
      <c r="C123" s="83">
        <v>1367.9</v>
      </c>
      <c r="D123" s="84">
        <v>64</v>
      </c>
      <c r="E123" s="85">
        <v>1</v>
      </c>
      <c r="F123" s="86">
        <v>2957808</v>
      </c>
      <c r="H123" s="7">
        <v>3554.5</v>
      </c>
      <c r="I123" s="7">
        <v>145</v>
      </c>
      <c r="J123" s="7">
        <v>7284801.9000000004</v>
      </c>
    </row>
    <row r="124" spans="1:10" ht="20.25" x14ac:dyDescent="0.3">
      <c r="A124" s="5">
        <v>45</v>
      </c>
      <c r="B124" s="3" t="s">
        <v>989</v>
      </c>
      <c r="C124" s="83">
        <v>2208.39</v>
      </c>
      <c r="D124" s="84">
        <v>74</v>
      </c>
      <c r="E124" s="85">
        <v>1</v>
      </c>
      <c r="F124" s="86">
        <v>4651054.3499999996</v>
      </c>
      <c r="H124" s="7">
        <v>2640.94</v>
      </c>
      <c r="I124" s="7">
        <v>88</v>
      </c>
      <c r="J124" s="7">
        <v>4011881.02</v>
      </c>
    </row>
    <row r="125" spans="1:10" ht="20.25" x14ac:dyDescent="0.3">
      <c r="A125" s="5">
        <v>46</v>
      </c>
      <c r="B125" s="3" t="s">
        <v>1015</v>
      </c>
      <c r="C125" s="83">
        <v>11211.2</v>
      </c>
      <c r="D125" s="84">
        <v>304</v>
      </c>
      <c r="E125" s="85">
        <v>3</v>
      </c>
      <c r="F125" s="86">
        <v>15298671.6</v>
      </c>
      <c r="H125" s="7">
        <v>4173.7</v>
      </c>
      <c r="I125" s="7">
        <v>171</v>
      </c>
      <c r="J125" s="7">
        <v>6026117.5699999994</v>
      </c>
    </row>
    <row r="126" spans="1:10" ht="20.25" x14ac:dyDescent="0.3">
      <c r="A126" s="5">
        <v>47</v>
      </c>
      <c r="B126" s="3" t="s">
        <v>991</v>
      </c>
      <c r="C126" s="83">
        <v>13890.4</v>
      </c>
      <c r="D126" s="84">
        <v>506</v>
      </c>
      <c r="E126" s="85">
        <v>3</v>
      </c>
      <c r="F126" s="86">
        <v>13767321.040000001</v>
      </c>
      <c r="H126" s="7">
        <v>8514.9</v>
      </c>
      <c r="I126" s="7">
        <v>327</v>
      </c>
      <c r="J126" s="7">
        <v>12459674.15</v>
      </c>
    </row>
    <row r="127" spans="1:10" ht="20.25" x14ac:dyDescent="0.3">
      <c r="A127" s="5">
        <v>48</v>
      </c>
      <c r="B127" s="3" t="s">
        <v>992</v>
      </c>
      <c r="C127" s="83">
        <v>4401.9799999999996</v>
      </c>
      <c r="D127" s="84">
        <v>148</v>
      </c>
      <c r="E127" s="85">
        <v>2</v>
      </c>
      <c r="F127" s="86">
        <v>9023270.3999999985</v>
      </c>
      <c r="H127" s="7">
        <v>14680.3</v>
      </c>
      <c r="I127" s="7">
        <v>685</v>
      </c>
      <c r="J127" s="7">
        <v>13993215.270000001</v>
      </c>
    </row>
    <row r="128" spans="1:10" ht="20.25" x14ac:dyDescent="0.3">
      <c r="A128" s="5">
        <v>49</v>
      </c>
      <c r="B128" s="3" t="s">
        <v>994</v>
      </c>
      <c r="C128" s="83">
        <v>708.1</v>
      </c>
      <c r="D128" s="84">
        <v>43</v>
      </c>
      <c r="E128" s="85">
        <v>1</v>
      </c>
      <c r="F128" s="86">
        <v>3080862</v>
      </c>
      <c r="H128" s="7">
        <v>4947</v>
      </c>
      <c r="I128" s="7">
        <v>164</v>
      </c>
      <c r="J128" s="7">
        <v>9221698.8000000007</v>
      </c>
    </row>
    <row r="129" spans="1:10" ht="20.25" x14ac:dyDescent="0.3">
      <c r="A129" s="5">
        <v>50</v>
      </c>
      <c r="B129" s="3" t="s">
        <v>1016</v>
      </c>
      <c r="C129" s="83">
        <v>788.3</v>
      </c>
      <c r="D129" s="84">
        <v>20</v>
      </c>
      <c r="E129" s="85">
        <v>1</v>
      </c>
      <c r="F129" s="86">
        <v>3655260</v>
      </c>
      <c r="H129" s="7">
        <v>726</v>
      </c>
      <c r="I129" s="7">
        <v>28</v>
      </c>
      <c r="J129" s="7">
        <v>3623929.1999999997</v>
      </c>
    </row>
    <row r="130" spans="1:10" ht="20.25" x14ac:dyDescent="0.3">
      <c r="A130" s="5">
        <v>51</v>
      </c>
      <c r="B130" s="3" t="s">
        <v>1017</v>
      </c>
      <c r="C130" s="83">
        <v>707.1</v>
      </c>
      <c r="D130" s="84">
        <v>32</v>
      </c>
      <c r="E130" s="85">
        <v>1</v>
      </c>
      <c r="F130" s="86">
        <v>3080862</v>
      </c>
      <c r="H130" s="7">
        <v>675.9</v>
      </c>
      <c r="I130" s="7">
        <v>32</v>
      </c>
      <c r="J130" s="7">
        <v>3080862</v>
      </c>
    </row>
    <row r="131" spans="1:10" ht="20.25" x14ac:dyDescent="0.3">
      <c r="A131" s="5">
        <v>52</v>
      </c>
      <c r="B131" s="3" t="s">
        <v>996</v>
      </c>
      <c r="C131" s="83">
        <v>2386.1999999999998</v>
      </c>
      <c r="D131" s="84">
        <v>70</v>
      </c>
      <c r="E131" s="85">
        <v>3</v>
      </c>
      <c r="F131" s="86">
        <v>7774419.2400000002</v>
      </c>
      <c r="H131" s="7">
        <v>611.5</v>
      </c>
      <c r="I131" s="7">
        <v>28</v>
      </c>
      <c r="J131" s="7">
        <v>2610892.59</v>
      </c>
    </row>
    <row r="132" spans="1:10" ht="20.25" x14ac:dyDescent="0.3">
      <c r="A132" s="5">
        <v>53</v>
      </c>
      <c r="B132" s="3" t="s">
        <v>1018</v>
      </c>
      <c r="C132" s="83">
        <v>834.7</v>
      </c>
      <c r="D132" s="84">
        <v>54</v>
      </c>
      <c r="E132" s="85">
        <v>1</v>
      </c>
      <c r="F132" s="86">
        <v>4275483</v>
      </c>
      <c r="H132" s="7">
        <v>789</v>
      </c>
      <c r="I132" s="7">
        <v>64</v>
      </c>
      <c r="J132" s="7">
        <v>3026194.08</v>
      </c>
    </row>
    <row r="133" spans="1:10" ht="20.25" x14ac:dyDescent="0.3">
      <c r="A133" s="5">
        <v>54</v>
      </c>
      <c r="B133" s="3" t="s">
        <v>1000</v>
      </c>
      <c r="C133" s="83">
        <v>2424.8000000000002</v>
      </c>
      <c r="D133" s="84">
        <v>86</v>
      </c>
      <c r="E133" s="85">
        <v>2</v>
      </c>
      <c r="F133" s="86">
        <v>9113700</v>
      </c>
      <c r="H133" s="7">
        <v>351</v>
      </c>
      <c r="I133" s="7">
        <v>18</v>
      </c>
      <c r="J133" s="7">
        <v>3600600</v>
      </c>
    </row>
    <row r="134" spans="1:10" ht="20.25" x14ac:dyDescent="0.3">
      <c r="A134" s="5">
        <v>55</v>
      </c>
      <c r="B134" s="3" t="s">
        <v>1001</v>
      </c>
      <c r="C134" s="83">
        <v>813.6</v>
      </c>
      <c r="D134" s="84">
        <v>16</v>
      </c>
      <c r="E134" s="85">
        <v>1</v>
      </c>
      <c r="F134" s="86">
        <v>3498600</v>
      </c>
      <c r="H134" s="7">
        <v>626</v>
      </c>
      <c r="I134" s="7">
        <v>23</v>
      </c>
      <c r="J134" s="7">
        <v>1917600</v>
      </c>
    </row>
    <row r="135" spans="1:10" ht="20.25" x14ac:dyDescent="0.3">
      <c r="A135" s="5">
        <v>56</v>
      </c>
      <c r="B135" s="3" t="s">
        <v>1019</v>
      </c>
      <c r="C135" s="83">
        <v>791.9</v>
      </c>
      <c r="D135" s="84">
        <v>22</v>
      </c>
      <c r="E135" s="89">
        <v>1</v>
      </c>
      <c r="F135" s="86">
        <v>3230340</v>
      </c>
      <c r="H135" s="7">
        <v>4977.8</v>
      </c>
      <c r="I135" s="7">
        <v>158</v>
      </c>
      <c r="J135" s="7">
        <v>14392200</v>
      </c>
    </row>
    <row r="136" spans="1:10" ht="20.25" x14ac:dyDescent="0.3">
      <c r="A136" s="3" t="s">
        <v>805</v>
      </c>
      <c r="B136" s="13"/>
      <c r="C136" s="83">
        <f>SUM(C137:C194)</f>
        <v>536694.74</v>
      </c>
      <c r="D136" s="84">
        <f t="shared" ref="D136:F136" si="2">SUM(D137:D194)</f>
        <v>20608</v>
      </c>
      <c r="E136" s="84">
        <f>SUM(E137:E194)</f>
        <v>213</v>
      </c>
      <c r="F136" s="83">
        <f t="shared" si="2"/>
        <v>791835849.29999995</v>
      </c>
      <c r="H136" s="7">
        <v>715.9</v>
      </c>
      <c r="I136" s="7">
        <v>16</v>
      </c>
      <c r="J136" s="7">
        <v>3396600</v>
      </c>
    </row>
    <row r="137" spans="1:10" ht="20.25" x14ac:dyDescent="0.3">
      <c r="A137" s="5">
        <v>1</v>
      </c>
      <c r="B137" s="3" t="s">
        <v>1040</v>
      </c>
      <c r="C137" s="83">
        <v>211691.09999999998</v>
      </c>
      <c r="D137" s="84">
        <v>8735</v>
      </c>
      <c r="E137" s="89">
        <v>58</v>
      </c>
      <c r="F137" s="86">
        <v>216853215.33000001</v>
      </c>
      <c r="H137" s="7">
        <v>209231.22999999995</v>
      </c>
      <c r="I137" s="7">
        <v>8552</v>
      </c>
      <c r="J137" s="7">
        <v>216853215.43000004</v>
      </c>
    </row>
    <row r="138" spans="1:10" ht="20.25" x14ac:dyDescent="0.3">
      <c r="A138" s="5">
        <v>2</v>
      </c>
      <c r="B138" s="3" t="s">
        <v>945</v>
      </c>
      <c r="C138" s="83">
        <v>15519.199999999999</v>
      </c>
      <c r="D138" s="84">
        <v>787</v>
      </c>
      <c r="E138" s="85">
        <v>14</v>
      </c>
      <c r="F138" s="86">
        <v>45048314.759999998</v>
      </c>
      <c r="H138" s="7">
        <v>15519.199999999999</v>
      </c>
      <c r="I138" s="7">
        <v>787</v>
      </c>
      <c r="J138" s="7">
        <v>45048314.759999998</v>
      </c>
    </row>
    <row r="139" spans="1:10" ht="20.25" x14ac:dyDescent="0.3">
      <c r="A139" s="5">
        <v>3</v>
      </c>
      <c r="B139" s="3" t="s">
        <v>946</v>
      </c>
      <c r="C139" s="83">
        <v>55301.200000000004</v>
      </c>
      <c r="D139" s="84">
        <v>2316</v>
      </c>
      <c r="E139" s="85">
        <v>27</v>
      </c>
      <c r="F139" s="86">
        <v>91626897.959999993</v>
      </c>
      <c r="H139" s="7">
        <v>55253.150000000009</v>
      </c>
      <c r="I139" s="7">
        <v>2316</v>
      </c>
      <c r="J139" s="7">
        <v>91626897.959999993</v>
      </c>
    </row>
    <row r="140" spans="1:10" ht="20.25" x14ac:dyDescent="0.3">
      <c r="A140" s="5">
        <v>4</v>
      </c>
      <c r="B140" s="4" t="s">
        <v>947</v>
      </c>
      <c r="C140" s="83">
        <v>29129.910000000003</v>
      </c>
      <c r="D140" s="84">
        <v>890</v>
      </c>
      <c r="E140" s="85">
        <v>11</v>
      </c>
      <c r="F140" s="86">
        <v>44137673.11999999</v>
      </c>
      <c r="H140" s="7">
        <v>26773.05</v>
      </c>
      <c r="I140" s="7">
        <v>869</v>
      </c>
      <c r="J140" s="7">
        <v>44137673.120000005</v>
      </c>
    </row>
    <row r="141" spans="1:10" ht="20.25" x14ac:dyDescent="0.3">
      <c r="A141" s="5">
        <v>5</v>
      </c>
      <c r="B141" s="3" t="s">
        <v>948</v>
      </c>
      <c r="C141" s="83">
        <v>13712.7</v>
      </c>
      <c r="D141" s="84">
        <v>336</v>
      </c>
      <c r="E141" s="85">
        <v>2</v>
      </c>
      <c r="F141" s="86">
        <v>21856214.649999999</v>
      </c>
      <c r="H141" s="7">
        <v>13712.7</v>
      </c>
      <c r="I141" s="7">
        <v>336</v>
      </c>
      <c r="J141" s="7">
        <v>21856214.650000002</v>
      </c>
    </row>
    <row r="142" spans="1:10" ht="20.25" x14ac:dyDescent="0.3">
      <c r="A142" s="5">
        <v>6</v>
      </c>
      <c r="B142" s="3" t="s">
        <v>949</v>
      </c>
      <c r="C142" s="83">
        <v>45915.810000000005</v>
      </c>
      <c r="D142" s="84">
        <v>1959</v>
      </c>
      <c r="E142" s="85">
        <v>8</v>
      </c>
      <c r="F142" s="86">
        <v>51679396.32</v>
      </c>
      <c r="H142" s="7">
        <v>45913.430000000008</v>
      </c>
      <c r="I142" s="7">
        <v>1959</v>
      </c>
      <c r="J142" s="7">
        <v>51679396.32</v>
      </c>
    </row>
    <row r="143" spans="1:10" ht="20.25" x14ac:dyDescent="0.3">
      <c r="A143" s="5">
        <v>7</v>
      </c>
      <c r="B143" s="3" t="s">
        <v>950</v>
      </c>
      <c r="C143" s="83">
        <v>10321.200000000001</v>
      </c>
      <c r="D143" s="84">
        <v>281</v>
      </c>
      <c r="E143" s="85">
        <v>3</v>
      </c>
      <c r="F143" s="86">
        <v>9890638.1399999987</v>
      </c>
      <c r="H143" s="7">
        <v>11170.900000000001</v>
      </c>
      <c r="I143" s="7">
        <v>305</v>
      </c>
      <c r="J143" s="7">
        <v>9890638.1399999987</v>
      </c>
    </row>
    <row r="144" spans="1:10" ht="20.25" x14ac:dyDescent="0.3">
      <c r="A144" s="5">
        <v>8</v>
      </c>
      <c r="B144" s="3" t="s">
        <v>951</v>
      </c>
      <c r="C144" s="83">
        <v>4408.6000000000004</v>
      </c>
      <c r="D144" s="84">
        <v>120</v>
      </c>
      <c r="E144" s="85">
        <v>2</v>
      </c>
      <c r="F144" s="86">
        <v>11422752.699999999</v>
      </c>
      <c r="H144" s="7">
        <v>4408.6000000000004</v>
      </c>
      <c r="I144" s="7">
        <v>120</v>
      </c>
      <c r="J144" s="7">
        <v>11422752.699999999</v>
      </c>
    </row>
    <row r="145" spans="1:10" ht="20.25" x14ac:dyDescent="0.3">
      <c r="A145" s="5">
        <v>9</v>
      </c>
      <c r="B145" s="3" t="s">
        <v>952</v>
      </c>
      <c r="C145" s="83">
        <v>8897</v>
      </c>
      <c r="D145" s="84">
        <v>313</v>
      </c>
      <c r="E145" s="85">
        <v>2</v>
      </c>
      <c r="F145" s="86">
        <v>9642280.0099999998</v>
      </c>
      <c r="H145" s="7">
        <v>8897</v>
      </c>
      <c r="I145" s="7">
        <v>313</v>
      </c>
      <c r="J145" s="7">
        <v>9642280</v>
      </c>
    </row>
    <row r="146" spans="1:10" ht="20.25" x14ac:dyDescent="0.3">
      <c r="A146" s="5">
        <v>10</v>
      </c>
      <c r="B146" s="3" t="s">
        <v>953</v>
      </c>
      <c r="C146" s="83">
        <v>1801.1</v>
      </c>
      <c r="D146" s="84">
        <v>15</v>
      </c>
      <c r="E146" s="85">
        <v>1</v>
      </c>
      <c r="F146" s="86">
        <v>4369866.08</v>
      </c>
      <c r="H146" s="7">
        <v>804.5</v>
      </c>
      <c r="I146" s="7">
        <v>47</v>
      </c>
      <c r="J146" s="7">
        <v>4369866.08</v>
      </c>
    </row>
    <row r="147" spans="1:10" ht="20.25" x14ac:dyDescent="0.3">
      <c r="A147" s="5">
        <v>11</v>
      </c>
      <c r="B147" s="3" t="s">
        <v>954</v>
      </c>
      <c r="C147" s="83">
        <v>1070.8</v>
      </c>
      <c r="D147" s="84">
        <v>42</v>
      </c>
      <c r="E147" s="85">
        <v>1</v>
      </c>
      <c r="F147" s="86">
        <v>2936950.21</v>
      </c>
      <c r="H147" s="7">
        <v>1070.8</v>
      </c>
      <c r="I147" s="7">
        <v>42</v>
      </c>
      <c r="J147" s="7">
        <v>2936950.21</v>
      </c>
    </row>
    <row r="148" spans="1:10" ht="20.25" x14ac:dyDescent="0.3">
      <c r="A148" s="5">
        <v>12</v>
      </c>
      <c r="B148" s="3" t="s">
        <v>955</v>
      </c>
      <c r="C148" s="83">
        <v>1547.1</v>
      </c>
      <c r="D148" s="84">
        <v>72</v>
      </c>
      <c r="E148" s="85">
        <v>2</v>
      </c>
      <c r="F148" s="86">
        <v>2773728.46</v>
      </c>
      <c r="H148" s="7">
        <v>1426.8</v>
      </c>
      <c r="I148" s="7">
        <v>72</v>
      </c>
      <c r="J148" s="7">
        <v>2773728.46</v>
      </c>
    </row>
    <row r="149" spans="1:10" ht="20.25" x14ac:dyDescent="0.3">
      <c r="A149" s="5">
        <v>13</v>
      </c>
      <c r="B149" s="3" t="s">
        <v>956</v>
      </c>
      <c r="C149" s="83">
        <v>455.7</v>
      </c>
      <c r="D149" s="84">
        <v>26</v>
      </c>
      <c r="E149" s="85">
        <v>1</v>
      </c>
      <c r="F149" s="86">
        <v>2158336.3499999996</v>
      </c>
      <c r="H149" s="7">
        <v>456.6</v>
      </c>
      <c r="I149" s="7">
        <v>26</v>
      </c>
      <c r="J149" s="7">
        <v>2158336.3499999996</v>
      </c>
    </row>
    <row r="150" spans="1:10" ht="20.25" x14ac:dyDescent="0.3">
      <c r="A150" s="5">
        <v>14</v>
      </c>
      <c r="B150" s="3" t="s">
        <v>957</v>
      </c>
      <c r="C150" s="83">
        <v>3085.8</v>
      </c>
      <c r="D150" s="84">
        <v>144</v>
      </c>
      <c r="E150" s="85">
        <v>1</v>
      </c>
      <c r="F150" s="86">
        <v>2000000</v>
      </c>
      <c r="H150" s="7">
        <v>3374.6</v>
      </c>
      <c r="I150" s="7">
        <v>144</v>
      </c>
      <c r="J150" s="7">
        <v>2000000</v>
      </c>
    </row>
    <row r="151" spans="1:10" ht="20.25" x14ac:dyDescent="0.3">
      <c r="A151" s="5">
        <v>15</v>
      </c>
      <c r="B151" s="3" t="s">
        <v>958</v>
      </c>
      <c r="C151" s="83">
        <v>11855.599999999999</v>
      </c>
      <c r="D151" s="84">
        <v>299</v>
      </c>
      <c r="E151" s="85">
        <v>7</v>
      </c>
      <c r="F151" s="86">
        <v>23342011.919999998</v>
      </c>
      <c r="H151" s="7">
        <v>13638.6</v>
      </c>
      <c r="I151" s="7">
        <v>299</v>
      </c>
      <c r="J151" s="7">
        <v>23342011.919999998</v>
      </c>
    </row>
    <row r="152" spans="1:10" ht="20.25" x14ac:dyDescent="0.3">
      <c r="A152" s="5">
        <v>16</v>
      </c>
      <c r="B152" s="3" t="s">
        <v>959</v>
      </c>
      <c r="C152" s="83">
        <v>5829.2</v>
      </c>
      <c r="D152" s="84">
        <v>215</v>
      </c>
      <c r="E152" s="85">
        <v>2</v>
      </c>
      <c r="F152" s="86">
        <v>12591900</v>
      </c>
      <c r="H152" s="7">
        <v>5759.0999999999995</v>
      </c>
      <c r="I152" s="7">
        <v>215</v>
      </c>
      <c r="J152" s="7">
        <v>12591900</v>
      </c>
    </row>
    <row r="153" spans="1:10" ht="20.25" x14ac:dyDescent="0.3">
      <c r="A153" s="5">
        <v>17</v>
      </c>
      <c r="B153" s="3" t="s">
        <v>960</v>
      </c>
      <c r="C153" s="83">
        <v>396.2</v>
      </c>
      <c r="D153" s="84">
        <v>21</v>
      </c>
      <c r="E153" s="85">
        <v>1</v>
      </c>
      <c r="F153" s="86">
        <v>1724820</v>
      </c>
      <c r="H153" s="7">
        <v>396.2</v>
      </c>
      <c r="I153" s="7">
        <v>21</v>
      </c>
      <c r="J153" s="7">
        <v>1724820</v>
      </c>
    </row>
    <row r="154" spans="1:10" ht="20.25" x14ac:dyDescent="0.3">
      <c r="A154" s="5">
        <v>18</v>
      </c>
      <c r="B154" s="3" t="s">
        <v>961</v>
      </c>
      <c r="C154" s="83">
        <v>1011.8</v>
      </c>
      <c r="D154" s="84">
        <v>26</v>
      </c>
      <c r="E154" s="85">
        <v>1</v>
      </c>
      <c r="F154" s="86">
        <v>1739107.3499999999</v>
      </c>
      <c r="H154" s="7">
        <v>1011.8</v>
      </c>
      <c r="I154" s="7">
        <v>26</v>
      </c>
      <c r="J154" s="7">
        <v>1739107.3499999999</v>
      </c>
    </row>
    <row r="155" spans="1:10" ht="20.25" x14ac:dyDescent="0.3">
      <c r="A155" s="5">
        <v>19</v>
      </c>
      <c r="B155" s="3" t="s">
        <v>962</v>
      </c>
      <c r="C155" s="83">
        <v>594.20000000000005</v>
      </c>
      <c r="D155" s="84">
        <v>23</v>
      </c>
      <c r="E155" s="85">
        <v>1</v>
      </c>
      <c r="F155" s="86">
        <v>3373804.98</v>
      </c>
      <c r="H155" s="7">
        <v>594.20000000000005</v>
      </c>
      <c r="I155" s="7">
        <v>23</v>
      </c>
      <c r="J155" s="7">
        <v>3373804.98</v>
      </c>
    </row>
    <row r="156" spans="1:10" ht="20.25" x14ac:dyDescent="0.3">
      <c r="A156" s="5">
        <v>20</v>
      </c>
      <c r="B156" s="3" t="s">
        <v>963</v>
      </c>
      <c r="C156" s="83">
        <v>833.6</v>
      </c>
      <c r="D156" s="84">
        <v>32</v>
      </c>
      <c r="E156" s="85">
        <v>1</v>
      </c>
      <c r="F156" s="86">
        <v>3916350</v>
      </c>
      <c r="H156" s="7">
        <v>906.9</v>
      </c>
      <c r="I156" s="7">
        <v>32</v>
      </c>
      <c r="J156" s="7">
        <v>3916350</v>
      </c>
    </row>
    <row r="157" spans="1:10" ht="20.25" x14ac:dyDescent="0.3">
      <c r="A157" s="5">
        <v>21</v>
      </c>
      <c r="B157" s="3" t="s">
        <v>964</v>
      </c>
      <c r="C157" s="83">
        <v>2184</v>
      </c>
      <c r="D157" s="84">
        <v>57</v>
      </c>
      <c r="E157" s="85">
        <v>2</v>
      </c>
      <c r="F157" s="86">
        <v>3516578.96</v>
      </c>
      <c r="H157" s="7">
        <v>2184</v>
      </c>
      <c r="I157" s="7">
        <v>57</v>
      </c>
      <c r="J157" s="7">
        <v>3516578.96</v>
      </c>
    </row>
    <row r="158" spans="1:10" ht="20.25" x14ac:dyDescent="0.3">
      <c r="A158" s="5">
        <v>22</v>
      </c>
      <c r="B158" s="3" t="s">
        <v>965</v>
      </c>
      <c r="C158" s="83">
        <v>1069.5</v>
      </c>
      <c r="D158" s="84">
        <v>39</v>
      </c>
      <c r="E158" s="85">
        <v>1</v>
      </c>
      <c r="F158" s="86">
        <v>3598749.4899999998</v>
      </c>
      <c r="H158" s="7">
        <v>1069.5</v>
      </c>
      <c r="I158" s="7">
        <v>39</v>
      </c>
      <c r="J158" s="7">
        <v>3598749.4899999998</v>
      </c>
    </row>
    <row r="159" spans="1:10" ht="20.25" x14ac:dyDescent="0.3">
      <c r="A159" s="5">
        <v>23</v>
      </c>
      <c r="B159" s="3" t="s">
        <v>966</v>
      </c>
      <c r="C159" s="83">
        <v>630</v>
      </c>
      <c r="D159" s="84">
        <v>32</v>
      </c>
      <c r="E159" s="85">
        <v>1</v>
      </c>
      <c r="F159" s="86">
        <v>3488946.79</v>
      </c>
      <c r="H159" s="7">
        <v>630</v>
      </c>
      <c r="I159" s="7">
        <v>32</v>
      </c>
      <c r="J159" s="7">
        <v>3488946.79</v>
      </c>
    </row>
    <row r="160" spans="1:10" ht="20.25" x14ac:dyDescent="0.3">
      <c r="A160" s="5">
        <v>24</v>
      </c>
      <c r="B160" s="3" t="s">
        <v>967</v>
      </c>
      <c r="C160" s="83">
        <v>626.5</v>
      </c>
      <c r="D160" s="84">
        <v>23</v>
      </c>
      <c r="E160" s="85">
        <v>1</v>
      </c>
      <c r="F160" s="86">
        <v>1538879.17</v>
      </c>
      <c r="H160" s="7">
        <v>626.5</v>
      </c>
      <c r="I160" s="7">
        <v>23</v>
      </c>
      <c r="J160" s="7">
        <v>1538879.17</v>
      </c>
    </row>
    <row r="161" spans="1:10" ht="20.25" x14ac:dyDescent="0.3">
      <c r="A161" s="5">
        <v>25</v>
      </c>
      <c r="B161" s="3" t="s">
        <v>968</v>
      </c>
      <c r="C161" s="83">
        <v>20161.53</v>
      </c>
      <c r="D161" s="84">
        <v>621</v>
      </c>
      <c r="E161" s="85">
        <v>6</v>
      </c>
      <c r="F161" s="86">
        <v>28415186.600000001</v>
      </c>
      <c r="H161" s="7">
        <v>20161.96</v>
      </c>
      <c r="I161" s="7">
        <v>621</v>
      </c>
      <c r="J161" s="7">
        <v>28415186.600000001</v>
      </c>
    </row>
    <row r="162" spans="1:10" ht="20.25" x14ac:dyDescent="0.3">
      <c r="A162" s="5">
        <v>26</v>
      </c>
      <c r="B162" s="3" t="s">
        <v>969</v>
      </c>
      <c r="C162" s="83">
        <v>1573</v>
      </c>
      <c r="D162" s="84">
        <v>68</v>
      </c>
      <c r="E162" s="85">
        <v>2</v>
      </c>
      <c r="F162" s="86">
        <v>5777967.8699999992</v>
      </c>
      <c r="H162" s="7">
        <v>1573</v>
      </c>
      <c r="I162" s="7">
        <v>68</v>
      </c>
      <c r="J162" s="7">
        <v>5777967.8699999992</v>
      </c>
    </row>
    <row r="163" spans="1:10" ht="20.25" x14ac:dyDescent="0.3">
      <c r="A163" s="5">
        <v>27</v>
      </c>
      <c r="B163" s="3" t="s">
        <v>970</v>
      </c>
      <c r="C163" s="83">
        <v>1266.2</v>
      </c>
      <c r="D163" s="84">
        <v>52</v>
      </c>
      <c r="E163" s="85">
        <v>3</v>
      </c>
      <c r="F163" s="86">
        <v>4715781.71</v>
      </c>
      <c r="H163" s="7">
        <v>1266.2</v>
      </c>
      <c r="I163" s="7">
        <v>52</v>
      </c>
      <c r="J163" s="7">
        <v>4715781.71</v>
      </c>
    </row>
    <row r="164" spans="1:10" ht="20.25" x14ac:dyDescent="0.3">
      <c r="A164" s="5">
        <v>28</v>
      </c>
      <c r="B164" s="3" t="s">
        <v>971</v>
      </c>
      <c r="C164" s="83">
        <v>703.5</v>
      </c>
      <c r="D164" s="84">
        <v>36</v>
      </c>
      <c r="E164" s="85">
        <v>2</v>
      </c>
      <c r="F164" s="86">
        <v>2590114.16</v>
      </c>
      <c r="H164" s="7">
        <v>703.5</v>
      </c>
      <c r="I164" s="7">
        <v>36</v>
      </c>
      <c r="J164" s="7">
        <v>2590114.16</v>
      </c>
    </row>
    <row r="165" spans="1:10" ht="20.25" x14ac:dyDescent="0.3">
      <c r="A165" s="5">
        <v>29</v>
      </c>
      <c r="B165" s="3" t="s">
        <v>972</v>
      </c>
      <c r="C165" s="83">
        <v>1217.2</v>
      </c>
      <c r="D165" s="84">
        <v>47</v>
      </c>
      <c r="E165" s="85">
        <v>1</v>
      </c>
      <c r="F165" s="86">
        <v>1456533.11</v>
      </c>
      <c r="H165" s="7">
        <v>1217.2</v>
      </c>
      <c r="I165" s="7">
        <v>47</v>
      </c>
      <c r="J165" s="7">
        <v>1456533.11</v>
      </c>
    </row>
    <row r="166" spans="1:10" ht="20.25" x14ac:dyDescent="0.3">
      <c r="A166" s="5">
        <v>30</v>
      </c>
      <c r="B166" s="3" t="s">
        <v>973</v>
      </c>
      <c r="C166" s="83">
        <v>1774</v>
      </c>
      <c r="D166" s="84">
        <v>80</v>
      </c>
      <c r="E166" s="85">
        <v>3</v>
      </c>
      <c r="F166" s="86">
        <v>10290828.25</v>
      </c>
      <c r="H166" s="7">
        <v>1774</v>
      </c>
      <c r="I166" s="7">
        <v>80</v>
      </c>
      <c r="J166" s="7">
        <v>10290828.25</v>
      </c>
    </row>
    <row r="167" spans="1:10" ht="20.25" x14ac:dyDescent="0.3">
      <c r="A167" s="5">
        <v>31</v>
      </c>
      <c r="B167" s="3" t="s">
        <v>974</v>
      </c>
      <c r="C167" s="83">
        <v>609</v>
      </c>
      <c r="D167" s="84">
        <v>31</v>
      </c>
      <c r="E167" s="85">
        <v>1</v>
      </c>
      <c r="F167" s="86">
        <v>3013803.8600000003</v>
      </c>
      <c r="H167" s="7">
        <v>609</v>
      </c>
      <c r="I167" s="7">
        <v>31</v>
      </c>
      <c r="J167" s="7">
        <v>3013803.8600000003</v>
      </c>
    </row>
    <row r="168" spans="1:10" ht="20.25" x14ac:dyDescent="0.3">
      <c r="A168" s="5">
        <v>32</v>
      </c>
      <c r="B168" s="3" t="s">
        <v>975</v>
      </c>
      <c r="C168" s="83">
        <v>616.20000000000005</v>
      </c>
      <c r="D168" s="84">
        <v>21</v>
      </c>
      <c r="E168" s="85">
        <v>1</v>
      </c>
      <c r="F168" s="86">
        <v>2036502</v>
      </c>
      <c r="H168" s="7">
        <v>616</v>
      </c>
      <c r="I168" s="7">
        <v>21</v>
      </c>
      <c r="J168" s="7">
        <v>2036502</v>
      </c>
    </row>
    <row r="169" spans="1:10" ht="20.25" x14ac:dyDescent="0.3">
      <c r="A169" s="5">
        <v>33</v>
      </c>
      <c r="B169" s="3" t="s">
        <v>976</v>
      </c>
      <c r="C169" s="83">
        <v>772.9</v>
      </c>
      <c r="D169" s="84">
        <v>32</v>
      </c>
      <c r="E169" s="85">
        <v>1</v>
      </c>
      <c r="F169" s="86">
        <v>3592598.4</v>
      </c>
      <c r="H169" s="7">
        <v>772.9</v>
      </c>
      <c r="I169" s="7">
        <v>32</v>
      </c>
      <c r="J169" s="7">
        <v>3592598.4</v>
      </c>
    </row>
    <row r="170" spans="1:10" ht="20.25" x14ac:dyDescent="0.3">
      <c r="A170" s="5">
        <v>34</v>
      </c>
      <c r="B170" s="3" t="s">
        <v>977</v>
      </c>
      <c r="C170" s="83">
        <v>976.3</v>
      </c>
      <c r="D170" s="84">
        <v>36</v>
      </c>
      <c r="E170" s="85">
        <v>1</v>
      </c>
      <c r="F170" s="86">
        <v>4454195.3999999994</v>
      </c>
      <c r="H170" s="7">
        <v>976.3</v>
      </c>
      <c r="I170" s="7">
        <v>36</v>
      </c>
      <c r="J170" s="7">
        <v>4454195.3999999994</v>
      </c>
    </row>
    <row r="171" spans="1:10" ht="20.25" x14ac:dyDescent="0.3">
      <c r="A171" s="5">
        <v>35</v>
      </c>
      <c r="B171" s="3" t="s">
        <v>978</v>
      </c>
      <c r="C171" s="83">
        <v>781.7</v>
      </c>
      <c r="D171" s="84">
        <v>25</v>
      </c>
      <c r="E171" s="85">
        <v>1</v>
      </c>
      <c r="F171" s="86">
        <v>4839701.7600000007</v>
      </c>
      <c r="H171" s="7">
        <v>781.7</v>
      </c>
      <c r="I171" s="7">
        <v>25</v>
      </c>
      <c r="J171" s="7">
        <v>4839701.7600000007</v>
      </c>
    </row>
    <row r="172" spans="1:10" ht="20.25" x14ac:dyDescent="0.3">
      <c r="A172" s="5">
        <v>36</v>
      </c>
      <c r="B172" s="3" t="s">
        <v>979</v>
      </c>
      <c r="C172" s="83">
        <v>736.7</v>
      </c>
      <c r="D172" s="84">
        <v>42</v>
      </c>
      <c r="E172" s="85">
        <v>1</v>
      </c>
      <c r="F172" s="86">
        <v>3231458.3</v>
      </c>
      <c r="H172" s="7">
        <v>792.9</v>
      </c>
      <c r="I172" s="7">
        <v>42</v>
      </c>
      <c r="J172" s="7">
        <v>3231458.3</v>
      </c>
    </row>
    <row r="173" spans="1:10" ht="20.25" x14ac:dyDescent="0.3">
      <c r="A173" s="5">
        <v>37</v>
      </c>
      <c r="B173" s="3" t="s">
        <v>980</v>
      </c>
      <c r="C173" s="83">
        <v>9352.4</v>
      </c>
      <c r="D173" s="84">
        <v>371</v>
      </c>
      <c r="E173" s="85">
        <v>3</v>
      </c>
      <c r="F173" s="86">
        <v>16849360.93</v>
      </c>
      <c r="H173" s="7">
        <v>9443</v>
      </c>
      <c r="I173" s="7">
        <v>371</v>
      </c>
      <c r="J173" s="7">
        <v>16849360.93</v>
      </c>
    </row>
    <row r="174" spans="1:10" ht="20.25" x14ac:dyDescent="0.3">
      <c r="A174" s="5">
        <v>38</v>
      </c>
      <c r="B174" s="3" t="s">
        <v>981</v>
      </c>
      <c r="C174" s="83">
        <v>2168.41</v>
      </c>
      <c r="D174" s="84">
        <v>62</v>
      </c>
      <c r="E174" s="85">
        <v>1</v>
      </c>
      <c r="F174" s="86">
        <v>3799734.79</v>
      </c>
      <c r="H174" s="7">
        <v>2168.41</v>
      </c>
      <c r="I174" s="7">
        <v>62</v>
      </c>
      <c r="J174" s="7">
        <v>3799734.79</v>
      </c>
    </row>
    <row r="175" spans="1:10" ht="20.25" x14ac:dyDescent="0.3">
      <c r="A175" s="5">
        <v>39</v>
      </c>
      <c r="B175" s="3" t="s">
        <v>982</v>
      </c>
      <c r="C175" s="83">
        <v>780.3</v>
      </c>
      <c r="D175" s="84">
        <v>24</v>
      </c>
      <c r="E175" s="85">
        <v>1</v>
      </c>
      <c r="F175" s="86">
        <v>2311215.4500000002</v>
      </c>
      <c r="H175" s="7">
        <v>780.3</v>
      </c>
      <c r="I175" s="7">
        <v>24</v>
      </c>
      <c r="J175" s="7">
        <v>2311215.4500000002</v>
      </c>
    </row>
    <row r="176" spans="1:10" ht="20.25" x14ac:dyDescent="0.3">
      <c r="A176" s="5">
        <v>40</v>
      </c>
      <c r="B176" s="3" t="s">
        <v>983</v>
      </c>
      <c r="C176" s="83">
        <v>540.79999999999995</v>
      </c>
      <c r="D176" s="84">
        <v>15</v>
      </c>
      <c r="E176" s="85">
        <v>1</v>
      </c>
      <c r="F176" s="86">
        <v>3215375.5700000003</v>
      </c>
      <c r="H176" s="7">
        <v>540.79999999999995</v>
      </c>
      <c r="I176" s="7">
        <v>15</v>
      </c>
      <c r="J176" s="7">
        <v>3215375.5700000003</v>
      </c>
    </row>
    <row r="177" spans="1:10" ht="20.25" x14ac:dyDescent="0.3">
      <c r="A177" s="5">
        <v>41</v>
      </c>
      <c r="B177" s="3" t="s">
        <v>984</v>
      </c>
      <c r="C177" s="83">
        <v>2550.6999999999998</v>
      </c>
      <c r="D177" s="84">
        <v>119</v>
      </c>
      <c r="E177" s="85">
        <v>3</v>
      </c>
      <c r="F177" s="86">
        <v>10672314.84</v>
      </c>
      <c r="H177" s="7">
        <v>2550.6999999999998</v>
      </c>
      <c r="I177" s="7">
        <v>119</v>
      </c>
      <c r="J177" s="7">
        <v>10672314.84</v>
      </c>
    </row>
    <row r="178" spans="1:10" ht="20.25" x14ac:dyDescent="0.3">
      <c r="A178" s="5">
        <v>42</v>
      </c>
      <c r="B178" s="3" t="s">
        <v>985</v>
      </c>
      <c r="C178" s="83">
        <v>7170.75</v>
      </c>
      <c r="D178" s="84">
        <v>213</v>
      </c>
      <c r="E178" s="85">
        <v>1</v>
      </c>
      <c r="F178" s="86">
        <v>5871927.6600000001</v>
      </c>
      <c r="H178" s="7">
        <v>5727.7</v>
      </c>
      <c r="I178" s="7">
        <v>188</v>
      </c>
      <c r="J178" s="7">
        <v>6053192.4699999997</v>
      </c>
    </row>
    <row r="179" spans="1:10" ht="20.25" x14ac:dyDescent="0.3">
      <c r="A179" s="5">
        <v>43</v>
      </c>
      <c r="B179" s="3" t="s">
        <v>986</v>
      </c>
      <c r="C179" s="83">
        <v>1046.8</v>
      </c>
      <c r="D179" s="84">
        <v>44</v>
      </c>
      <c r="E179" s="85">
        <v>1</v>
      </c>
      <c r="F179" s="86">
        <v>4804056</v>
      </c>
      <c r="H179" s="7">
        <v>1040.7</v>
      </c>
      <c r="I179" s="7">
        <v>44</v>
      </c>
      <c r="J179" s="7">
        <v>4804056</v>
      </c>
    </row>
    <row r="180" spans="1:10" ht="20.25" x14ac:dyDescent="0.3">
      <c r="A180" s="5">
        <v>44</v>
      </c>
      <c r="B180" s="3" t="s">
        <v>987</v>
      </c>
      <c r="C180" s="83">
        <v>3554.5</v>
      </c>
      <c r="D180" s="84">
        <v>145</v>
      </c>
      <c r="E180" s="85">
        <v>1</v>
      </c>
      <c r="F180" s="86">
        <v>7284801.9000000004</v>
      </c>
      <c r="H180" s="7">
        <v>3554.5</v>
      </c>
      <c r="I180" s="7">
        <v>145</v>
      </c>
      <c r="J180" s="7">
        <v>7284801.9000000004</v>
      </c>
    </row>
    <row r="181" spans="1:10" ht="20.25" x14ac:dyDescent="0.3">
      <c r="A181" s="5">
        <v>45</v>
      </c>
      <c r="B181" s="3" t="s">
        <v>988</v>
      </c>
      <c r="C181" s="83">
        <v>2640.94</v>
      </c>
      <c r="D181" s="84">
        <v>88</v>
      </c>
      <c r="E181" s="85">
        <v>2</v>
      </c>
      <c r="F181" s="86">
        <v>4011881.02</v>
      </c>
      <c r="H181" s="7">
        <v>2640.94</v>
      </c>
      <c r="I181" s="7">
        <v>88</v>
      </c>
      <c r="J181" s="7">
        <v>4011881.02</v>
      </c>
    </row>
    <row r="182" spans="1:10" ht="20.25" x14ac:dyDescent="0.3">
      <c r="A182" s="5">
        <v>46</v>
      </c>
      <c r="B182" s="3" t="s">
        <v>989</v>
      </c>
      <c r="C182" s="83">
        <v>4173.3999999999996</v>
      </c>
      <c r="D182" s="84">
        <v>171</v>
      </c>
      <c r="E182" s="85">
        <v>2</v>
      </c>
      <c r="F182" s="86">
        <v>6026117.5699999994</v>
      </c>
      <c r="H182" s="7">
        <v>4173.7</v>
      </c>
      <c r="I182" s="7">
        <v>171</v>
      </c>
      <c r="J182" s="7">
        <v>6026117.5699999994</v>
      </c>
    </row>
    <row r="183" spans="1:10" ht="20.25" x14ac:dyDescent="0.3">
      <c r="A183" s="5">
        <v>47</v>
      </c>
      <c r="B183" s="3" t="s">
        <v>990</v>
      </c>
      <c r="C183" s="83">
        <v>13642.179999999998</v>
      </c>
      <c r="D183" s="84">
        <v>327</v>
      </c>
      <c r="E183" s="85">
        <v>3</v>
      </c>
      <c r="F183" s="86">
        <v>12459674.15</v>
      </c>
      <c r="H183" s="7">
        <v>8514.9</v>
      </c>
      <c r="I183" s="7">
        <v>327</v>
      </c>
      <c r="J183" s="7">
        <v>12459674.15</v>
      </c>
    </row>
    <row r="184" spans="1:10" ht="20.25" x14ac:dyDescent="0.3">
      <c r="A184" s="5">
        <v>48</v>
      </c>
      <c r="B184" s="3" t="s">
        <v>991</v>
      </c>
      <c r="C184" s="83">
        <v>13231.8</v>
      </c>
      <c r="D184" s="84">
        <v>565</v>
      </c>
      <c r="E184" s="85">
        <v>4</v>
      </c>
      <c r="F184" s="86">
        <v>11707868.220000001</v>
      </c>
      <c r="H184" s="7">
        <v>14680.3</v>
      </c>
      <c r="I184" s="7">
        <v>685</v>
      </c>
      <c r="J184" s="7">
        <v>13993215.270000001</v>
      </c>
    </row>
    <row r="185" spans="1:10" ht="20.25" x14ac:dyDescent="0.3">
      <c r="A185" s="5">
        <v>49</v>
      </c>
      <c r="B185" s="3" t="s">
        <v>992</v>
      </c>
      <c r="C185" s="83">
        <v>5101.2</v>
      </c>
      <c r="D185" s="84">
        <v>164</v>
      </c>
      <c r="E185" s="85">
        <v>2</v>
      </c>
      <c r="F185" s="86">
        <v>9221698.8000000007</v>
      </c>
      <c r="H185" s="7">
        <v>4947</v>
      </c>
      <c r="I185" s="7">
        <v>164</v>
      </c>
      <c r="J185" s="7">
        <v>9221698.8000000007</v>
      </c>
    </row>
    <row r="186" spans="1:10" ht="20.25" x14ac:dyDescent="0.3">
      <c r="A186" s="5">
        <v>50</v>
      </c>
      <c r="B186" s="3" t="s">
        <v>993</v>
      </c>
      <c r="C186" s="83">
        <v>783.81</v>
      </c>
      <c r="D186" s="84">
        <v>28</v>
      </c>
      <c r="E186" s="85">
        <v>1</v>
      </c>
      <c r="F186" s="86">
        <v>3623929.1999999997</v>
      </c>
      <c r="H186" s="7">
        <v>726</v>
      </c>
      <c r="I186" s="7">
        <v>28</v>
      </c>
      <c r="J186" s="7">
        <v>3623929.1999999997</v>
      </c>
    </row>
    <row r="187" spans="1:10" ht="20.25" x14ac:dyDescent="0.3">
      <c r="A187" s="5">
        <v>51</v>
      </c>
      <c r="B187" s="3" t="s">
        <v>994</v>
      </c>
      <c r="C187" s="83">
        <v>680.2</v>
      </c>
      <c r="D187" s="84">
        <v>32</v>
      </c>
      <c r="E187" s="85">
        <v>1</v>
      </c>
      <c r="F187" s="86">
        <v>3080862</v>
      </c>
      <c r="H187" s="7">
        <v>675.9</v>
      </c>
      <c r="I187" s="7">
        <v>32</v>
      </c>
      <c r="J187" s="7">
        <v>3080862</v>
      </c>
    </row>
    <row r="188" spans="1:10" ht="20.25" x14ac:dyDescent="0.3">
      <c r="A188" s="5">
        <v>52</v>
      </c>
      <c r="B188" s="3" t="s">
        <v>995</v>
      </c>
      <c r="C188" s="83">
        <v>646.4</v>
      </c>
      <c r="D188" s="84">
        <v>28</v>
      </c>
      <c r="E188" s="85">
        <v>2</v>
      </c>
      <c r="F188" s="86">
        <v>2610892.59</v>
      </c>
      <c r="H188" s="7">
        <v>611.5</v>
      </c>
      <c r="I188" s="7">
        <v>28</v>
      </c>
      <c r="J188" s="7">
        <v>2610892.59</v>
      </c>
    </row>
    <row r="189" spans="1:10" ht="20.25" x14ac:dyDescent="0.3">
      <c r="A189" s="5">
        <v>53</v>
      </c>
      <c r="B189" s="3" t="s">
        <v>996</v>
      </c>
      <c r="C189" s="83">
        <v>2009.6000000000001</v>
      </c>
      <c r="D189" s="84">
        <v>77</v>
      </c>
      <c r="E189" s="85">
        <v>3</v>
      </c>
      <c r="F189" s="86">
        <v>6332416.4000000004</v>
      </c>
      <c r="H189" s="7">
        <v>2373.5</v>
      </c>
      <c r="I189" s="7">
        <v>77</v>
      </c>
      <c r="J189" s="7">
        <v>6332416.4000000004</v>
      </c>
    </row>
    <row r="190" spans="1:10" ht="20.25" x14ac:dyDescent="0.3">
      <c r="A190" s="5">
        <v>54</v>
      </c>
      <c r="B190" s="3" t="s">
        <v>997</v>
      </c>
      <c r="C190" s="83">
        <v>814.6</v>
      </c>
      <c r="D190" s="84">
        <v>26</v>
      </c>
      <c r="E190" s="85">
        <v>1</v>
      </c>
      <c r="F190" s="86">
        <v>4686244.08</v>
      </c>
      <c r="H190" s="7">
        <v>789</v>
      </c>
      <c r="I190" s="7">
        <v>64</v>
      </c>
      <c r="J190" s="7">
        <v>3026194.08</v>
      </c>
    </row>
    <row r="191" spans="1:10" ht="20.25" x14ac:dyDescent="0.3">
      <c r="A191" s="5">
        <v>55</v>
      </c>
      <c r="B191" s="3" t="s">
        <v>998</v>
      </c>
      <c r="C191" s="83">
        <v>350.9</v>
      </c>
      <c r="D191" s="84">
        <v>18</v>
      </c>
      <c r="E191" s="85">
        <v>1</v>
      </c>
      <c r="F191" s="86">
        <v>3600600</v>
      </c>
      <c r="H191" s="7">
        <v>351</v>
      </c>
      <c r="I191" s="7">
        <v>18</v>
      </c>
      <c r="J191" s="7">
        <v>3600600</v>
      </c>
    </row>
    <row r="192" spans="1:10" ht="20.25" x14ac:dyDescent="0.3">
      <c r="A192" s="5">
        <v>56</v>
      </c>
      <c r="B192" s="3" t="s">
        <v>999</v>
      </c>
      <c r="C192" s="83">
        <v>626</v>
      </c>
      <c r="D192" s="84">
        <v>23</v>
      </c>
      <c r="E192" s="85">
        <v>1</v>
      </c>
      <c r="F192" s="86">
        <v>2233993.96</v>
      </c>
      <c r="H192" s="7">
        <v>626</v>
      </c>
      <c r="I192" s="7">
        <v>23</v>
      </c>
      <c r="J192" s="7">
        <v>1917600</v>
      </c>
    </row>
    <row r="193" spans="1:10" ht="20.25" x14ac:dyDescent="0.3">
      <c r="A193" s="5">
        <v>57</v>
      </c>
      <c r="B193" s="3" t="s">
        <v>1000</v>
      </c>
      <c r="C193" s="83">
        <v>4977.8</v>
      </c>
      <c r="D193" s="84">
        <v>158</v>
      </c>
      <c r="E193" s="85">
        <v>3</v>
      </c>
      <c r="F193" s="86">
        <v>14392200</v>
      </c>
      <c r="H193" s="7">
        <v>4977.8</v>
      </c>
      <c r="I193" s="7">
        <v>158</v>
      </c>
      <c r="J193" s="7">
        <v>14392200</v>
      </c>
    </row>
    <row r="194" spans="1:10" ht="20.25" x14ac:dyDescent="0.3">
      <c r="A194" s="5">
        <v>58</v>
      </c>
      <c r="B194" s="3" t="s">
        <v>1001</v>
      </c>
      <c r="C194" s="83">
        <v>775.2</v>
      </c>
      <c r="D194" s="84">
        <v>16</v>
      </c>
      <c r="E194" s="85">
        <v>1</v>
      </c>
      <c r="F194" s="86">
        <v>3396600</v>
      </c>
      <c r="H194" s="7">
        <v>715.9</v>
      </c>
      <c r="I194" s="7">
        <v>16</v>
      </c>
      <c r="J194" s="7">
        <v>3396600</v>
      </c>
    </row>
  </sheetData>
  <mergeCells count="9">
    <mergeCell ref="E1:F1"/>
    <mergeCell ref="D2:F2"/>
    <mergeCell ref="A3:F4"/>
    <mergeCell ref="A5:A8"/>
    <mergeCell ref="B5:B8"/>
    <mergeCell ref="C5:C7"/>
    <mergeCell ref="D5:D7"/>
    <mergeCell ref="E5:E7"/>
    <mergeCell ref="F5:F7"/>
  </mergeCells>
  <pageMargins left="0" right="0" top="0.39370078740157483" bottom="0" header="0" footer="0"/>
  <pageSetup paperSize="9" scale="51" fitToHeight="0" orientation="portrait" r:id="rId1"/>
  <headerFooter differentFirst="1">
    <oddHeader>&amp;C&amp;"Times New Roman,обычный"&amp;P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68"/>
  <sheetViews>
    <sheetView topLeftCell="B1" zoomScale="20" zoomScaleNormal="20" workbookViewId="0">
      <selection activeCell="F25" sqref="F25"/>
    </sheetView>
  </sheetViews>
  <sheetFormatPr defaultRowHeight="15" x14ac:dyDescent="0.25"/>
  <cols>
    <col min="1" max="1" width="9.140625" style="7" hidden="1" customWidth="1"/>
    <col min="2" max="2" width="26.42578125" style="7" customWidth="1"/>
    <col min="3" max="3" width="242.7109375" style="7" customWidth="1"/>
    <col min="4" max="4" width="58.85546875" style="7" customWidth="1"/>
    <col min="5" max="5" width="82.140625" style="7" customWidth="1"/>
    <col min="6" max="6" width="53.5703125" style="7" customWidth="1"/>
    <col min="7" max="12" width="54.28515625" style="7" customWidth="1"/>
    <col min="13" max="13" width="49.42578125" style="68" customWidth="1"/>
    <col min="14" max="14" width="53" style="7" customWidth="1"/>
    <col min="15" max="15" width="43.7109375" style="7" customWidth="1"/>
    <col min="16" max="16" width="58.5703125" style="7" customWidth="1"/>
    <col min="17" max="17" width="41.42578125" style="7" customWidth="1"/>
    <col min="18" max="18" width="42.5703125" style="7" customWidth="1"/>
    <col min="19" max="19" width="43.85546875" style="7" customWidth="1"/>
    <col min="20" max="20" width="60.28515625" style="7" customWidth="1"/>
    <col min="21" max="21" width="35.42578125" style="7" customWidth="1"/>
    <col min="22" max="22" width="34.85546875" style="7" customWidth="1"/>
    <col min="23" max="23" width="34.28515625" style="7" customWidth="1"/>
    <col min="24" max="24" width="58" style="7" customWidth="1"/>
    <col min="25" max="25" width="66.28515625" style="7" customWidth="1"/>
    <col min="26" max="26" width="51.85546875" style="7" customWidth="1"/>
    <col min="27" max="27" width="41.42578125" style="7" customWidth="1"/>
    <col min="28" max="28" width="69" style="7" customWidth="1"/>
    <col min="29" max="29" width="96.7109375" style="7" customWidth="1"/>
    <col min="30" max="30" width="55.28515625" style="7" customWidth="1"/>
    <col min="31" max="32" width="51" style="7" customWidth="1"/>
    <col min="33" max="33" width="63.28515625" style="7" customWidth="1"/>
    <col min="34" max="34" width="38.140625" style="7" customWidth="1"/>
    <col min="35" max="35" width="41.7109375" style="7" customWidth="1"/>
    <col min="36" max="36" width="36.7109375" style="7" customWidth="1"/>
    <col min="37" max="16384" width="9.140625" style="7"/>
  </cols>
  <sheetData>
    <row r="1" spans="1:36" ht="90" x14ac:dyDescent="1.1499999999999999">
      <c r="B1" s="199" t="s">
        <v>1033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</row>
    <row r="2" spans="1:36" ht="187.5" customHeight="1" x14ac:dyDescent="0.25">
      <c r="B2" s="200" t="s">
        <v>1091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</row>
    <row r="3" spans="1:36" ht="76.5" x14ac:dyDescent="1.05">
      <c r="B3" s="64" t="s">
        <v>1035</v>
      </c>
      <c r="C3" s="201" t="s">
        <v>1092</v>
      </c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</row>
    <row r="4" spans="1:36" ht="166.5" customHeight="1" x14ac:dyDescent="0.25">
      <c r="B4" s="64" t="s">
        <v>1036</v>
      </c>
      <c r="C4" s="202" t="s">
        <v>1081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</row>
    <row r="5" spans="1:36" ht="45.75" x14ac:dyDescent="0.25">
      <c r="B5" s="157" t="s">
        <v>6</v>
      </c>
      <c r="C5" s="157" t="s">
        <v>7</v>
      </c>
      <c r="D5" s="157" t="s">
        <v>1082</v>
      </c>
      <c r="E5" s="203" t="s">
        <v>1083</v>
      </c>
      <c r="F5" s="206" t="s">
        <v>8</v>
      </c>
      <c r="G5" s="157" t="s">
        <v>1039</v>
      </c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209" t="s">
        <v>9</v>
      </c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10" t="s">
        <v>10</v>
      </c>
      <c r="AI5" s="210" t="s">
        <v>11</v>
      </c>
      <c r="AJ5" s="210" t="s">
        <v>12</v>
      </c>
    </row>
    <row r="6" spans="1:36" ht="45.75" x14ac:dyDescent="0.25">
      <c r="B6" s="157"/>
      <c r="C6" s="157"/>
      <c r="D6" s="157"/>
      <c r="E6" s="204"/>
      <c r="F6" s="207"/>
      <c r="G6" s="157" t="s">
        <v>13</v>
      </c>
      <c r="H6" s="157"/>
      <c r="I6" s="157"/>
      <c r="J6" s="157"/>
      <c r="K6" s="157"/>
      <c r="L6" s="157"/>
      <c r="M6" s="213" t="s">
        <v>14</v>
      </c>
      <c r="N6" s="214"/>
      <c r="O6" s="213" t="s">
        <v>15</v>
      </c>
      <c r="P6" s="214"/>
      <c r="Q6" s="213" t="s">
        <v>16</v>
      </c>
      <c r="R6" s="214"/>
      <c r="S6" s="213" t="s">
        <v>17</v>
      </c>
      <c r="T6" s="214"/>
      <c r="U6" s="213" t="s">
        <v>18</v>
      </c>
      <c r="V6" s="214"/>
      <c r="W6" s="218" t="s">
        <v>19</v>
      </c>
      <c r="X6" s="218" t="s">
        <v>1084</v>
      </c>
      <c r="Y6" s="218" t="s">
        <v>21</v>
      </c>
      <c r="Z6" s="218" t="s">
        <v>22</v>
      </c>
      <c r="AA6" s="218" t="s">
        <v>23</v>
      </c>
      <c r="AB6" s="218" t="s">
        <v>1085</v>
      </c>
      <c r="AC6" s="218" t="s">
        <v>1086</v>
      </c>
      <c r="AD6" s="218" t="s">
        <v>1087</v>
      </c>
      <c r="AE6" s="220" t="s">
        <v>27</v>
      </c>
      <c r="AF6" s="220" t="s">
        <v>28</v>
      </c>
      <c r="AG6" s="220" t="s">
        <v>1088</v>
      </c>
      <c r="AH6" s="211"/>
      <c r="AI6" s="211"/>
      <c r="AJ6" s="211"/>
    </row>
    <row r="7" spans="1:36" ht="409.5" customHeight="1" x14ac:dyDescent="0.25">
      <c r="B7" s="157"/>
      <c r="C7" s="157"/>
      <c r="D7" s="157"/>
      <c r="E7" s="205"/>
      <c r="F7" s="208"/>
      <c r="G7" s="65" t="s">
        <v>30</v>
      </c>
      <c r="H7" s="65" t="s">
        <v>31</v>
      </c>
      <c r="I7" s="65" t="s">
        <v>32</v>
      </c>
      <c r="J7" s="65" t="s">
        <v>33</v>
      </c>
      <c r="K7" s="65" t="s">
        <v>34</v>
      </c>
      <c r="L7" s="65" t="s">
        <v>35</v>
      </c>
      <c r="M7" s="215"/>
      <c r="N7" s="216"/>
      <c r="O7" s="215"/>
      <c r="P7" s="216"/>
      <c r="Q7" s="215"/>
      <c r="R7" s="216"/>
      <c r="S7" s="215"/>
      <c r="T7" s="216"/>
      <c r="U7" s="215"/>
      <c r="V7" s="216"/>
      <c r="W7" s="219"/>
      <c r="X7" s="219"/>
      <c r="Y7" s="219"/>
      <c r="Z7" s="219"/>
      <c r="AA7" s="219"/>
      <c r="AB7" s="219"/>
      <c r="AC7" s="219"/>
      <c r="AD7" s="219"/>
      <c r="AE7" s="221"/>
      <c r="AF7" s="221"/>
      <c r="AG7" s="221"/>
      <c r="AH7" s="211"/>
      <c r="AI7" s="211"/>
      <c r="AJ7" s="211"/>
    </row>
    <row r="8" spans="1:36" ht="45.75" x14ac:dyDescent="0.25">
      <c r="B8" s="157"/>
      <c r="C8" s="157"/>
      <c r="D8" s="157"/>
      <c r="E8" s="99" t="s">
        <v>1089</v>
      </c>
      <c r="F8" s="101" t="s">
        <v>36</v>
      </c>
      <c r="G8" s="99" t="s">
        <v>36</v>
      </c>
      <c r="H8" s="99" t="s">
        <v>36</v>
      </c>
      <c r="I8" s="99" t="s">
        <v>36</v>
      </c>
      <c r="J8" s="99" t="s">
        <v>36</v>
      </c>
      <c r="K8" s="99" t="s">
        <v>36</v>
      </c>
      <c r="L8" s="99" t="s">
        <v>36</v>
      </c>
      <c r="M8" s="27" t="s">
        <v>37</v>
      </c>
      <c r="N8" s="99" t="s">
        <v>36</v>
      </c>
      <c r="O8" s="99" t="s">
        <v>38</v>
      </c>
      <c r="P8" s="99" t="s">
        <v>36</v>
      </c>
      <c r="Q8" s="99" t="s">
        <v>38</v>
      </c>
      <c r="R8" s="99" t="s">
        <v>36</v>
      </c>
      <c r="S8" s="99" t="s">
        <v>38</v>
      </c>
      <c r="T8" s="99" t="s">
        <v>36</v>
      </c>
      <c r="U8" s="99" t="s">
        <v>39</v>
      </c>
      <c r="V8" s="99" t="s">
        <v>36</v>
      </c>
      <c r="W8" s="99" t="s">
        <v>36</v>
      </c>
      <c r="X8" s="99" t="s">
        <v>36</v>
      </c>
      <c r="Y8" s="99" t="s">
        <v>36</v>
      </c>
      <c r="Z8" s="99" t="s">
        <v>36</v>
      </c>
      <c r="AA8" s="99" t="s">
        <v>36</v>
      </c>
      <c r="AB8" s="99" t="s">
        <v>36</v>
      </c>
      <c r="AC8" s="99" t="s">
        <v>36</v>
      </c>
      <c r="AD8" s="99" t="s">
        <v>36</v>
      </c>
      <c r="AE8" s="99" t="s">
        <v>36</v>
      </c>
      <c r="AF8" s="99" t="s">
        <v>36</v>
      </c>
      <c r="AG8" s="99" t="s">
        <v>36</v>
      </c>
      <c r="AH8" s="212"/>
      <c r="AI8" s="212"/>
      <c r="AJ8" s="212"/>
    </row>
    <row r="9" spans="1:36" ht="45.75" x14ac:dyDescent="0.65">
      <c r="B9" s="102">
        <v>1</v>
      </c>
      <c r="C9" s="102">
        <v>2</v>
      </c>
      <c r="D9" s="102">
        <v>3</v>
      </c>
      <c r="E9" s="102">
        <v>4</v>
      </c>
      <c r="F9" s="102">
        <v>5</v>
      </c>
      <c r="G9" s="102">
        <v>6</v>
      </c>
      <c r="H9" s="102">
        <v>7</v>
      </c>
      <c r="I9" s="102">
        <v>8</v>
      </c>
      <c r="J9" s="102">
        <v>9</v>
      </c>
      <c r="K9" s="102">
        <v>10</v>
      </c>
      <c r="L9" s="102">
        <v>11</v>
      </c>
      <c r="M9" s="66">
        <v>12</v>
      </c>
      <c r="N9" s="102">
        <v>13</v>
      </c>
      <c r="O9" s="102">
        <v>14</v>
      </c>
      <c r="P9" s="102">
        <v>15</v>
      </c>
      <c r="Q9" s="102">
        <v>16</v>
      </c>
      <c r="R9" s="102">
        <v>17</v>
      </c>
      <c r="S9" s="102">
        <v>18</v>
      </c>
      <c r="T9" s="102">
        <v>19</v>
      </c>
      <c r="U9" s="102">
        <v>20</v>
      </c>
      <c r="V9" s="102">
        <v>21</v>
      </c>
      <c r="W9" s="102">
        <v>22</v>
      </c>
      <c r="X9" s="102">
        <v>23</v>
      </c>
      <c r="Y9" s="102">
        <v>24</v>
      </c>
      <c r="Z9" s="102">
        <v>25</v>
      </c>
      <c r="AA9" s="102">
        <v>26</v>
      </c>
      <c r="AB9" s="102">
        <v>27</v>
      </c>
      <c r="AC9" s="102">
        <v>28</v>
      </c>
      <c r="AD9" s="102">
        <v>29</v>
      </c>
      <c r="AE9" s="102">
        <v>30</v>
      </c>
      <c r="AF9" s="102">
        <v>31</v>
      </c>
      <c r="AG9" s="102">
        <v>32</v>
      </c>
      <c r="AH9" s="102">
        <v>33</v>
      </c>
      <c r="AI9" s="102">
        <v>34</v>
      </c>
      <c r="AJ9" s="102">
        <v>35</v>
      </c>
    </row>
    <row r="10" spans="1:36" ht="61.5" x14ac:dyDescent="0.25">
      <c r="B10" s="217" t="s">
        <v>1090</v>
      </c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</row>
    <row r="11" spans="1:36" s="78" customFormat="1" ht="61.5" x14ac:dyDescent="0.85">
      <c r="B11" s="74" t="s">
        <v>1124</v>
      </c>
      <c r="C11" s="79"/>
      <c r="D11" s="72" t="s">
        <v>943</v>
      </c>
      <c r="E11" s="73">
        <f>AVERAGE(E12:E59)</f>
        <v>1.0071347222222227</v>
      </c>
      <c r="F11" s="32">
        <f t="shared" ref="F11:AG11" si="0">F12+F14+F24+F28+F30+F33+F36+F42+F44+F48+F50+F52+F54+F58+F40+F26+F60+F62</f>
        <v>87771544.497684732</v>
      </c>
      <c r="G11" s="32">
        <f t="shared" si="0"/>
        <v>527851.61</v>
      </c>
      <c r="H11" s="32">
        <f t="shared" si="0"/>
        <v>574926.32999999996</v>
      </c>
      <c r="I11" s="32">
        <f t="shared" si="0"/>
        <v>1042147.18</v>
      </c>
      <c r="J11" s="32">
        <f t="shared" si="0"/>
        <v>709528.05</v>
      </c>
      <c r="K11" s="32">
        <f t="shared" si="0"/>
        <v>825545.05</v>
      </c>
      <c r="L11" s="32">
        <f t="shared" si="0"/>
        <v>0</v>
      </c>
      <c r="M11" s="82">
        <f t="shared" si="0"/>
        <v>0</v>
      </c>
      <c r="N11" s="32">
        <f t="shared" si="0"/>
        <v>0</v>
      </c>
      <c r="O11" s="32">
        <f t="shared" si="0"/>
        <v>16651.739999999998</v>
      </c>
      <c r="P11" s="32">
        <f t="shared" si="0"/>
        <v>73742380.989999995</v>
      </c>
      <c r="Q11" s="32">
        <f t="shared" si="0"/>
        <v>0</v>
      </c>
      <c r="R11" s="32">
        <f t="shared" si="0"/>
        <v>0</v>
      </c>
      <c r="S11" s="32">
        <f t="shared" si="0"/>
        <v>1606.91</v>
      </c>
      <c r="T11" s="32">
        <f t="shared" si="0"/>
        <v>5904665.387684729</v>
      </c>
      <c r="U11" s="32">
        <f t="shared" si="0"/>
        <v>0</v>
      </c>
      <c r="V11" s="32">
        <f t="shared" si="0"/>
        <v>0</v>
      </c>
      <c r="W11" s="32">
        <f t="shared" si="0"/>
        <v>0</v>
      </c>
      <c r="X11" s="32">
        <f t="shared" si="0"/>
        <v>0</v>
      </c>
      <c r="Y11" s="32">
        <f t="shared" si="0"/>
        <v>0</v>
      </c>
      <c r="Z11" s="32">
        <f t="shared" si="0"/>
        <v>0</v>
      </c>
      <c r="AA11" s="32">
        <f t="shared" si="0"/>
        <v>0</v>
      </c>
      <c r="AB11" s="32">
        <f t="shared" si="0"/>
        <v>0</v>
      </c>
      <c r="AC11" s="32">
        <f t="shared" si="0"/>
        <v>0</v>
      </c>
      <c r="AD11" s="32">
        <f t="shared" si="0"/>
        <v>0</v>
      </c>
      <c r="AE11" s="32">
        <f t="shared" si="0"/>
        <v>1249905.6699999997</v>
      </c>
      <c r="AF11" s="32">
        <f t="shared" si="0"/>
        <v>3194594.23</v>
      </c>
      <c r="AG11" s="72">
        <f t="shared" si="0"/>
        <v>0</v>
      </c>
      <c r="AH11" s="36" t="s">
        <v>943</v>
      </c>
      <c r="AI11" s="36" t="s">
        <v>943</v>
      </c>
      <c r="AJ11" s="36" t="s">
        <v>943</v>
      </c>
    </row>
    <row r="12" spans="1:36" s="21" customFormat="1" ht="61.5" x14ac:dyDescent="0.85">
      <c r="B12" s="74" t="s">
        <v>867</v>
      </c>
      <c r="C12" s="25"/>
      <c r="D12" s="72" t="s">
        <v>943</v>
      </c>
      <c r="E12" s="73">
        <f>AVERAGE(E13:E13)</f>
        <v>1.0055000000000001</v>
      </c>
      <c r="F12" s="32">
        <f>F13</f>
        <v>2880000</v>
      </c>
      <c r="G12" s="32">
        <f t="shared" ref="G12:AG12" si="1">G13</f>
        <v>0</v>
      </c>
      <c r="H12" s="32">
        <f t="shared" si="1"/>
        <v>0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82">
        <f t="shared" si="1"/>
        <v>0</v>
      </c>
      <c r="N12" s="32">
        <f t="shared" si="1"/>
        <v>0</v>
      </c>
      <c r="O12" s="32">
        <f t="shared" si="1"/>
        <v>600</v>
      </c>
      <c r="P12" s="32">
        <f t="shared" si="1"/>
        <v>2738916.26</v>
      </c>
      <c r="Q12" s="32">
        <f t="shared" si="1"/>
        <v>0</v>
      </c>
      <c r="R12" s="32">
        <f t="shared" si="1"/>
        <v>0</v>
      </c>
      <c r="S12" s="32">
        <f t="shared" si="1"/>
        <v>0</v>
      </c>
      <c r="T12" s="32">
        <f t="shared" si="1"/>
        <v>0</v>
      </c>
      <c r="U12" s="32">
        <f t="shared" si="1"/>
        <v>0</v>
      </c>
      <c r="V12" s="32">
        <f t="shared" si="1"/>
        <v>0</v>
      </c>
      <c r="W12" s="32">
        <f t="shared" si="1"/>
        <v>0</v>
      </c>
      <c r="X12" s="32">
        <f t="shared" si="1"/>
        <v>0</v>
      </c>
      <c r="Y12" s="32">
        <f t="shared" si="1"/>
        <v>0</v>
      </c>
      <c r="Z12" s="32">
        <f t="shared" si="1"/>
        <v>0</v>
      </c>
      <c r="AA12" s="32">
        <f t="shared" si="1"/>
        <v>0</v>
      </c>
      <c r="AB12" s="32">
        <f t="shared" si="1"/>
        <v>0</v>
      </c>
      <c r="AC12" s="32">
        <f t="shared" si="1"/>
        <v>0</v>
      </c>
      <c r="AD12" s="32">
        <f t="shared" si="1"/>
        <v>0</v>
      </c>
      <c r="AE12" s="71">
        <f t="shared" si="1"/>
        <v>41083.74</v>
      </c>
      <c r="AF12" s="71">
        <f t="shared" si="1"/>
        <v>100000</v>
      </c>
      <c r="AG12" s="72">
        <f t="shared" si="1"/>
        <v>0</v>
      </c>
      <c r="AH12" s="36" t="s">
        <v>943</v>
      </c>
      <c r="AI12" s="36" t="s">
        <v>943</v>
      </c>
      <c r="AJ12" s="36" t="s">
        <v>943</v>
      </c>
    </row>
    <row r="13" spans="1:36" s="21" customFormat="1" ht="61.5" x14ac:dyDescent="0.85">
      <c r="A13" s="21">
        <v>1</v>
      </c>
      <c r="B13" s="70">
        <f>SUBTOTAL(103,$A13:A$13)</f>
        <v>1</v>
      </c>
      <c r="C13" s="25" t="s">
        <v>1093</v>
      </c>
      <c r="D13" s="72" t="s">
        <v>1112</v>
      </c>
      <c r="E13" s="73">
        <v>1.0055000000000001</v>
      </c>
      <c r="F13" s="32">
        <f>G13+H13+I13+J13+K13+L13+N13+P13+R13+T13+V13+W13+X13+Y13+Z13+AA13+AB13+AC13+AD13+AE13+AF13+AG13</f>
        <v>2880000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  <c r="L13" s="32">
        <v>0</v>
      </c>
      <c r="M13" s="82">
        <v>0</v>
      </c>
      <c r="N13" s="32">
        <v>0</v>
      </c>
      <c r="O13" s="32">
        <v>600</v>
      </c>
      <c r="P13" s="32">
        <v>2738916.26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71">
        <f>ROUND(P13*1.5%,2)</f>
        <v>41083.74</v>
      </c>
      <c r="AF13" s="71">
        <v>100000</v>
      </c>
      <c r="AG13" s="72">
        <v>0</v>
      </c>
      <c r="AH13" s="36">
        <v>2020</v>
      </c>
      <c r="AI13" s="36">
        <v>2020</v>
      </c>
      <c r="AJ13" s="36">
        <v>2020</v>
      </c>
    </row>
    <row r="14" spans="1:36" s="21" customFormat="1" ht="61.5" x14ac:dyDescent="0.85">
      <c r="B14" s="74" t="s">
        <v>1120</v>
      </c>
      <c r="C14" s="25"/>
      <c r="D14" s="72" t="s">
        <v>943</v>
      </c>
      <c r="E14" s="73">
        <f>AVERAGE(E15:E23)</f>
        <v>1.0038333333333334</v>
      </c>
      <c r="F14" s="32">
        <f>SUM(F15:F23)</f>
        <v>27624193.716305416</v>
      </c>
      <c r="G14" s="32">
        <f t="shared" ref="G14:AG14" si="2">SUM(G15:G23)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82">
        <f t="shared" si="2"/>
        <v>0</v>
      </c>
      <c r="N14" s="32">
        <f t="shared" si="2"/>
        <v>0</v>
      </c>
      <c r="O14" s="32">
        <f t="shared" si="2"/>
        <v>5500.2</v>
      </c>
      <c r="P14" s="32">
        <f t="shared" si="2"/>
        <v>23048489.170000002</v>
      </c>
      <c r="Q14" s="32">
        <f t="shared" si="2"/>
        <v>0</v>
      </c>
      <c r="R14" s="32">
        <f t="shared" si="2"/>
        <v>0</v>
      </c>
      <c r="S14" s="32">
        <f t="shared" si="2"/>
        <v>910</v>
      </c>
      <c r="T14" s="32">
        <f t="shared" si="2"/>
        <v>3355057.1463054186</v>
      </c>
      <c r="U14" s="32">
        <f t="shared" si="2"/>
        <v>0</v>
      </c>
      <c r="V14" s="32">
        <f t="shared" si="2"/>
        <v>0</v>
      </c>
      <c r="W14" s="32">
        <f t="shared" si="2"/>
        <v>0</v>
      </c>
      <c r="X14" s="32">
        <f t="shared" si="2"/>
        <v>0</v>
      </c>
      <c r="Y14" s="32">
        <f t="shared" si="2"/>
        <v>0</v>
      </c>
      <c r="Z14" s="32">
        <f t="shared" si="2"/>
        <v>0</v>
      </c>
      <c r="AA14" s="32">
        <f t="shared" si="2"/>
        <v>0</v>
      </c>
      <c r="AB14" s="32">
        <f t="shared" si="2"/>
        <v>0</v>
      </c>
      <c r="AC14" s="32">
        <f t="shared" si="2"/>
        <v>0</v>
      </c>
      <c r="AD14" s="32">
        <f t="shared" si="2"/>
        <v>0</v>
      </c>
      <c r="AE14" s="32">
        <f t="shared" si="2"/>
        <v>396053.19</v>
      </c>
      <c r="AF14" s="32">
        <f t="shared" si="2"/>
        <v>824594.21</v>
      </c>
      <c r="AG14" s="32">
        <f t="shared" si="2"/>
        <v>0</v>
      </c>
      <c r="AH14" s="36" t="s">
        <v>943</v>
      </c>
      <c r="AI14" s="36" t="s">
        <v>943</v>
      </c>
      <c r="AJ14" s="36" t="s">
        <v>943</v>
      </c>
    </row>
    <row r="15" spans="1:36" s="21" customFormat="1" ht="61.5" x14ac:dyDescent="0.85">
      <c r="A15" s="21">
        <v>1</v>
      </c>
      <c r="B15" s="70">
        <f>SUBTOTAL(103,$A$13:A15)</f>
        <v>2</v>
      </c>
      <c r="C15" s="25" t="s">
        <v>1094</v>
      </c>
      <c r="D15" s="72" t="s">
        <v>1113</v>
      </c>
      <c r="E15" s="73">
        <v>1.0047999999999999</v>
      </c>
      <c r="F15" s="32">
        <f t="shared" ref="F15:F63" si="3">G15+H15+I15+J15+K15+L15+N15+P15+R15+T15+V15+W15+X15+Y15+Z15+AA15+AB15+AC15+AD15+AE15+AF15+AG15</f>
        <v>7302960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82">
        <v>0</v>
      </c>
      <c r="N15" s="32">
        <v>0</v>
      </c>
      <c r="O15" s="32">
        <v>1557.9</v>
      </c>
      <c r="P15" s="32">
        <v>7195034.4800000004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71">
        <f>ROUND(P15*1.5%,2)</f>
        <v>107925.52</v>
      </c>
      <c r="AF15" s="71">
        <v>0</v>
      </c>
      <c r="AG15" s="72">
        <v>0</v>
      </c>
      <c r="AH15" s="36" t="s">
        <v>275</v>
      </c>
      <c r="AI15" s="36">
        <v>2020</v>
      </c>
      <c r="AJ15" s="36">
        <v>2020</v>
      </c>
    </row>
    <row r="16" spans="1:36" s="21" customFormat="1" ht="61.5" x14ac:dyDescent="0.85">
      <c r="A16" s="21">
        <v>1</v>
      </c>
      <c r="B16" s="70">
        <f>SUBTOTAL(103,$A$13:A16)</f>
        <v>3</v>
      </c>
      <c r="C16" s="25" t="s">
        <v>1095</v>
      </c>
      <c r="D16" s="72" t="s">
        <v>1112</v>
      </c>
      <c r="E16" s="73">
        <v>1</v>
      </c>
      <c r="F16" s="32">
        <f t="shared" si="3"/>
        <v>1077000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82">
        <v>0</v>
      </c>
      <c r="N16" s="32">
        <v>0</v>
      </c>
      <c r="O16" s="32">
        <v>240</v>
      </c>
      <c r="P16" s="32">
        <v>972413.79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71">
        <f>ROUND(P16*1.5%,2)</f>
        <v>14586.21</v>
      </c>
      <c r="AF16" s="71">
        <v>90000</v>
      </c>
      <c r="AG16" s="72">
        <v>0</v>
      </c>
      <c r="AH16" s="36">
        <v>2020</v>
      </c>
      <c r="AI16" s="36">
        <v>2020</v>
      </c>
      <c r="AJ16" s="36">
        <v>2020</v>
      </c>
    </row>
    <row r="17" spans="1:36" s="21" customFormat="1" ht="61.5" x14ac:dyDescent="0.85">
      <c r="A17" s="21">
        <v>1</v>
      </c>
      <c r="B17" s="70">
        <f>SUBTOTAL(103,$A$13:A17)</f>
        <v>4</v>
      </c>
      <c r="C17" s="25" t="s">
        <v>1096</v>
      </c>
      <c r="D17" s="72" t="s">
        <v>1114</v>
      </c>
      <c r="E17" s="73">
        <v>1.0003</v>
      </c>
      <c r="F17" s="32">
        <f t="shared" si="3"/>
        <v>1153050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82">
        <v>0</v>
      </c>
      <c r="N17" s="32">
        <v>0</v>
      </c>
      <c r="O17" s="32">
        <v>257</v>
      </c>
      <c r="P17" s="32">
        <v>1047339.9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0</v>
      </c>
      <c r="AD17" s="32">
        <v>0</v>
      </c>
      <c r="AE17" s="71">
        <f>ROUND(P17*1.5%,2)</f>
        <v>15710.1</v>
      </c>
      <c r="AF17" s="71">
        <v>90000</v>
      </c>
      <c r="AG17" s="72">
        <v>0</v>
      </c>
      <c r="AH17" s="36">
        <v>2020</v>
      </c>
      <c r="AI17" s="36">
        <v>2020</v>
      </c>
      <c r="AJ17" s="36">
        <v>2020</v>
      </c>
    </row>
    <row r="18" spans="1:36" s="21" customFormat="1" ht="61.5" x14ac:dyDescent="0.85">
      <c r="A18" s="21">
        <v>1</v>
      </c>
      <c r="B18" s="70">
        <f>SUBTOTAL(103,$A$13:A18)</f>
        <v>5</v>
      </c>
      <c r="C18" s="25" t="s">
        <v>1109</v>
      </c>
      <c r="D18" s="72" t="s">
        <v>1113</v>
      </c>
      <c r="E18" s="73">
        <v>1.0178</v>
      </c>
      <c r="F18" s="32">
        <f t="shared" si="3"/>
        <v>1588190.9963054184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82">
        <v>0</v>
      </c>
      <c r="N18" s="32">
        <v>0</v>
      </c>
      <c r="O18" s="32">
        <v>0</v>
      </c>
      <c r="P18" s="32">
        <v>0</v>
      </c>
      <c r="Q18" s="32">
        <v>0</v>
      </c>
      <c r="R18" s="32">
        <v>0</v>
      </c>
      <c r="S18" s="32">
        <v>340</v>
      </c>
      <c r="T18" s="32">
        <v>1476050.2463054184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71">
        <f>ROUND(T18*1.5%,2)</f>
        <v>22140.75</v>
      </c>
      <c r="AF18" s="71">
        <v>90000</v>
      </c>
      <c r="AG18" s="72">
        <v>0</v>
      </c>
      <c r="AH18" s="36">
        <v>2020</v>
      </c>
      <c r="AI18" s="36">
        <v>2020</v>
      </c>
      <c r="AJ18" s="36">
        <v>2020</v>
      </c>
    </row>
    <row r="19" spans="1:36" s="21" customFormat="1" ht="61.5" x14ac:dyDescent="0.85">
      <c r="A19" s="21">
        <v>1</v>
      </c>
      <c r="B19" s="70">
        <f>SUBTOTAL(103,$A$13:A19)</f>
        <v>6</v>
      </c>
      <c r="C19" s="25" t="s">
        <v>1157</v>
      </c>
      <c r="D19" s="72" t="s">
        <v>1115</v>
      </c>
      <c r="E19" s="73">
        <v>1</v>
      </c>
      <c r="F19" s="32">
        <f t="shared" si="3"/>
        <v>3773900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82">
        <v>0</v>
      </c>
      <c r="N19" s="32">
        <v>0</v>
      </c>
      <c r="O19" s="32">
        <v>835</v>
      </c>
      <c r="P19" s="32">
        <v>3619605.91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0</v>
      </c>
      <c r="AE19" s="71">
        <f t="shared" ref="AE19:AE20" si="4">ROUND(P19*1.5%,2)</f>
        <v>54294.09</v>
      </c>
      <c r="AF19" s="71">
        <v>100000</v>
      </c>
      <c r="AG19" s="72">
        <v>0</v>
      </c>
      <c r="AH19" s="36">
        <v>2020</v>
      </c>
      <c r="AI19" s="36">
        <v>2020</v>
      </c>
      <c r="AJ19" s="36">
        <v>2020</v>
      </c>
    </row>
    <row r="20" spans="1:36" s="21" customFormat="1" ht="61.5" x14ac:dyDescent="0.85">
      <c r="A20" s="21">
        <v>1</v>
      </c>
      <c r="B20" s="70">
        <f>SUBTOTAL(103,$A$13:A20)</f>
        <v>7</v>
      </c>
      <c r="C20" s="25" t="s">
        <v>574</v>
      </c>
      <c r="D20" s="72" t="s">
        <v>1117</v>
      </c>
      <c r="E20" s="73">
        <v>1</v>
      </c>
      <c r="F20" s="32">
        <f t="shared" si="3"/>
        <v>6344168.71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82">
        <v>0</v>
      </c>
      <c r="N20" s="32">
        <v>0</v>
      </c>
      <c r="O20" s="32">
        <v>1704.3</v>
      </c>
      <c r="P20" s="32">
        <v>6073072.6200000001</v>
      </c>
      <c r="Q20" s="32">
        <v>0</v>
      </c>
      <c r="R20" s="32">
        <v>0</v>
      </c>
      <c r="S20" s="32">
        <v>0</v>
      </c>
      <c r="T20" s="32">
        <v>0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71">
        <f t="shared" si="4"/>
        <v>91096.09</v>
      </c>
      <c r="AF20" s="71">
        <v>180000</v>
      </c>
      <c r="AG20" s="72">
        <v>0</v>
      </c>
      <c r="AH20" s="36">
        <v>2020</v>
      </c>
      <c r="AI20" s="36">
        <v>2020</v>
      </c>
      <c r="AJ20" s="36">
        <v>2020</v>
      </c>
    </row>
    <row r="21" spans="1:36" s="21" customFormat="1" ht="61.5" x14ac:dyDescent="0.85">
      <c r="A21" s="21">
        <v>1</v>
      </c>
      <c r="B21" s="70">
        <f>SUBTOTAL(103,$A$13:A21)</f>
        <v>8</v>
      </c>
      <c r="C21" s="25" t="s">
        <v>1166</v>
      </c>
      <c r="D21" s="72" t="s">
        <v>1115</v>
      </c>
      <c r="E21" s="73">
        <v>1.0026999999999999</v>
      </c>
      <c r="F21" s="32">
        <f t="shared" si="3"/>
        <v>1997192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82">
        <v>0</v>
      </c>
      <c r="N21" s="32">
        <v>0</v>
      </c>
      <c r="O21" s="32">
        <v>0</v>
      </c>
      <c r="P21" s="32">
        <v>0</v>
      </c>
      <c r="Q21" s="32">
        <v>0</v>
      </c>
      <c r="R21" s="32">
        <v>0</v>
      </c>
      <c r="S21" s="32">
        <v>570</v>
      </c>
      <c r="T21" s="32">
        <v>1879006.9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71">
        <f>ROUND(T21*1.5%,2)</f>
        <v>28185.1</v>
      </c>
      <c r="AF21" s="71">
        <v>90000</v>
      </c>
      <c r="AG21" s="72">
        <v>0</v>
      </c>
      <c r="AH21" s="36">
        <v>2020</v>
      </c>
      <c r="AI21" s="36">
        <v>2020</v>
      </c>
      <c r="AJ21" s="36">
        <v>2020</v>
      </c>
    </row>
    <row r="22" spans="1:36" s="21" customFormat="1" ht="61.5" x14ac:dyDescent="0.85">
      <c r="A22" s="21">
        <v>1</v>
      </c>
      <c r="B22" s="70">
        <f>SUBTOTAL(103,$A$13:A22)</f>
        <v>9</v>
      </c>
      <c r="C22" s="25" t="s">
        <v>1167</v>
      </c>
      <c r="D22" s="72" t="s">
        <v>1113</v>
      </c>
      <c r="E22" s="73">
        <v>1.0053000000000001</v>
      </c>
      <c r="F22" s="32">
        <f t="shared" si="3"/>
        <v>2372807.9900000002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82">
        <v>0</v>
      </c>
      <c r="N22" s="32">
        <v>0</v>
      </c>
      <c r="O22" s="32">
        <v>550</v>
      </c>
      <c r="P22" s="32">
        <v>2244545.6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71">
        <f>ROUND(P22*1.5%,2)</f>
        <v>33668.18</v>
      </c>
      <c r="AF22" s="71">
        <f>90000+4594.21</f>
        <v>94594.21</v>
      </c>
      <c r="AG22" s="72">
        <v>0</v>
      </c>
      <c r="AH22" s="36">
        <v>2020</v>
      </c>
      <c r="AI22" s="36">
        <v>2020</v>
      </c>
      <c r="AJ22" s="36">
        <v>2020</v>
      </c>
    </row>
    <row r="23" spans="1:36" s="21" customFormat="1" ht="61.5" x14ac:dyDescent="0.85">
      <c r="A23" s="21">
        <v>1</v>
      </c>
      <c r="B23" s="70">
        <f>SUBTOTAL(103,$A$13:A23)</f>
        <v>10</v>
      </c>
      <c r="C23" s="25" t="s">
        <v>1510</v>
      </c>
      <c r="D23" s="72" t="s">
        <v>1113</v>
      </c>
      <c r="E23" s="73">
        <v>1.0036</v>
      </c>
      <c r="F23" s="32">
        <f t="shared" si="3"/>
        <v>2014924.02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82">
        <v>0</v>
      </c>
      <c r="N23" s="32">
        <v>0</v>
      </c>
      <c r="O23" s="32">
        <v>356</v>
      </c>
      <c r="P23" s="32">
        <v>1896476.87</v>
      </c>
      <c r="Q23" s="32">
        <v>0</v>
      </c>
      <c r="R23" s="32">
        <v>0</v>
      </c>
      <c r="S23" s="32">
        <v>0</v>
      </c>
      <c r="T23" s="32">
        <v>0</v>
      </c>
      <c r="U23" s="32">
        <v>0</v>
      </c>
      <c r="V23" s="32">
        <v>0</v>
      </c>
      <c r="W23" s="32">
        <v>0</v>
      </c>
      <c r="X23" s="32">
        <v>0</v>
      </c>
      <c r="Y23" s="32">
        <v>0</v>
      </c>
      <c r="Z23" s="32">
        <v>0</v>
      </c>
      <c r="AA23" s="32">
        <v>0</v>
      </c>
      <c r="AB23" s="32">
        <v>0</v>
      </c>
      <c r="AC23" s="32">
        <v>0</v>
      </c>
      <c r="AD23" s="32">
        <v>0</v>
      </c>
      <c r="AE23" s="71">
        <f>ROUND(P23*1.5%,2)</f>
        <v>28447.15</v>
      </c>
      <c r="AF23" s="71">
        <v>90000</v>
      </c>
      <c r="AG23" s="72">
        <v>0</v>
      </c>
      <c r="AH23" s="36">
        <v>2020</v>
      </c>
      <c r="AI23" s="36">
        <v>2020</v>
      </c>
      <c r="AJ23" s="36">
        <v>2020</v>
      </c>
    </row>
    <row r="24" spans="1:36" s="21" customFormat="1" ht="61.5" x14ac:dyDescent="0.85">
      <c r="B24" s="74" t="s">
        <v>871</v>
      </c>
      <c r="C24" s="25"/>
      <c r="D24" s="72" t="s">
        <v>943</v>
      </c>
      <c r="E24" s="73">
        <f>AVERAGE(E25)</f>
        <v>1.0267999999999999</v>
      </c>
      <c r="F24" s="32">
        <f>F25</f>
        <v>1376400</v>
      </c>
      <c r="G24" s="32">
        <f t="shared" ref="G24:AG24" si="5">G25</f>
        <v>0</v>
      </c>
      <c r="H24" s="32">
        <f t="shared" si="5"/>
        <v>0</v>
      </c>
      <c r="I24" s="32">
        <f t="shared" si="5"/>
        <v>0</v>
      </c>
      <c r="J24" s="32">
        <f t="shared" si="5"/>
        <v>0</v>
      </c>
      <c r="K24" s="32">
        <f t="shared" si="5"/>
        <v>0</v>
      </c>
      <c r="L24" s="32">
        <f t="shared" si="5"/>
        <v>0</v>
      </c>
      <c r="M24" s="82">
        <f t="shared" si="5"/>
        <v>0</v>
      </c>
      <c r="N24" s="32">
        <f t="shared" si="5"/>
        <v>0</v>
      </c>
      <c r="O24" s="32">
        <f t="shared" si="5"/>
        <v>286.75</v>
      </c>
      <c r="P24" s="32">
        <f t="shared" si="5"/>
        <v>1267389.1599999999</v>
      </c>
      <c r="Q24" s="32">
        <f t="shared" si="5"/>
        <v>0</v>
      </c>
      <c r="R24" s="32">
        <f t="shared" si="5"/>
        <v>0</v>
      </c>
      <c r="S24" s="32">
        <f t="shared" si="5"/>
        <v>0</v>
      </c>
      <c r="T24" s="32">
        <f t="shared" si="5"/>
        <v>0</v>
      </c>
      <c r="U24" s="32">
        <f t="shared" si="5"/>
        <v>0</v>
      </c>
      <c r="V24" s="32">
        <f t="shared" si="5"/>
        <v>0</v>
      </c>
      <c r="W24" s="32">
        <f t="shared" si="5"/>
        <v>0</v>
      </c>
      <c r="X24" s="32">
        <f t="shared" si="5"/>
        <v>0</v>
      </c>
      <c r="Y24" s="32">
        <f t="shared" si="5"/>
        <v>0</v>
      </c>
      <c r="Z24" s="32">
        <f t="shared" si="5"/>
        <v>0</v>
      </c>
      <c r="AA24" s="32">
        <f t="shared" si="5"/>
        <v>0</v>
      </c>
      <c r="AB24" s="32">
        <f t="shared" si="5"/>
        <v>0</v>
      </c>
      <c r="AC24" s="32">
        <f t="shared" si="5"/>
        <v>0</v>
      </c>
      <c r="AD24" s="32">
        <f t="shared" si="5"/>
        <v>0</v>
      </c>
      <c r="AE24" s="71">
        <f t="shared" si="5"/>
        <v>19010.84</v>
      </c>
      <c r="AF24" s="71">
        <f t="shared" si="5"/>
        <v>90000</v>
      </c>
      <c r="AG24" s="72">
        <f t="shared" si="5"/>
        <v>0</v>
      </c>
      <c r="AH24" s="36" t="s">
        <v>943</v>
      </c>
      <c r="AI24" s="36" t="s">
        <v>943</v>
      </c>
      <c r="AJ24" s="36" t="s">
        <v>943</v>
      </c>
    </row>
    <row r="25" spans="1:36" s="21" customFormat="1" ht="61.5" x14ac:dyDescent="0.85">
      <c r="A25" s="21">
        <v>1</v>
      </c>
      <c r="B25" s="70">
        <f>SUBTOTAL(103,$A$13:A25)</f>
        <v>11</v>
      </c>
      <c r="C25" s="25" t="s">
        <v>723</v>
      </c>
      <c r="D25" s="72" t="s">
        <v>1115</v>
      </c>
      <c r="E25" s="73">
        <v>1.0267999999999999</v>
      </c>
      <c r="F25" s="32">
        <f t="shared" si="3"/>
        <v>1376400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82">
        <v>0</v>
      </c>
      <c r="N25" s="32">
        <v>0</v>
      </c>
      <c r="O25" s="32">
        <v>286.75</v>
      </c>
      <c r="P25" s="32">
        <v>1267389.1599999999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71">
        <f>ROUND(P25*1.5%,2)</f>
        <v>19010.84</v>
      </c>
      <c r="AF25" s="71">
        <v>90000</v>
      </c>
      <c r="AG25" s="72">
        <v>0</v>
      </c>
      <c r="AH25" s="36">
        <v>2020</v>
      </c>
      <c r="AI25" s="36">
        <v>2020</v>
      </c>
      <c r="AJ25" s="36">
        <v>2020</v>
      </c>
    </row>
    <row r="26" spans="1:36" s="21" customFormat="1" ht="61.5" x14ac:dyDescent="0.85">
      <c r="B26" s="74" t="s">
        <v>875</v>
      </c>
      <c r="C26" s="25"/>
      <c r="D26" s="72" t="s">
        <v>943</v>
      </c>
      <c r="E26" s="73">
        <f>AVERAGE(E27)</f>
        <v>1</v>
      </c>
      <c r="F26" s="32">
        <f>F27</f>
        <v>6000000</v>
      </c>
      <c r="G26" s="32">
        <f t="shared" ref="G26:AG26" si="6">G27</f>
        <v>0</v>
      </c>
      <c r="H26" s="32">
        <f t="shared" si="6"/>
        <v>0</v>
      </c>
      <c r="I26" s="32">
        <f t="shared" si="6"/>
        <v>0</v>
      </c>
      <c r="J26" s="32">
        <f t="shared" si="6"/>
        <v>0</v>
      </c>
      <c r="K26" s="32">
        <f t="shared" si="6"/>
        <v>0</v>
      </c>
      <c r="L26" s="32">
        <f t="shared" si="6"/>
        <v>0</v>
      </c>
      <c r="M26" s="82">
        <f t="shared" si="6"/>
        <v>0</v>
      </c>
      <c r="N26" s="32">
        <f t="shared" si="6"/>
        <v>0</v>
      </c>
      <c r="O26" s="32">
        <f t="shared" si="6"/>
        <v>1250</v>
      </c>
      <c r="P26" s="32">
        <f t="shared" si="6"/>
        <v>5763546.7999999998</v>
      </c>
      <c r="Q26" s="32">
        <f t="shared" si="6"/>
        <v>0</v>
      </c>
      <c r="R26" s="32">
        <f t="shared" si="6"/>
        <v>0</v>
      </c>
      <c r="S26" s="32">
        <f t="shared" si="6"/>
        <v>0</v>
      </c>
      <c r="T26" s="32">
        <f t="shared" si="6"/>
        <v>0</v>
      </c>
      <c r="U26" s="32">
        <f t="shared" si="6"/>
        <v>0</v>
      </c>
      <c r="V26" s="32">
        <f t="shared" si="6"/>
        <v>0</v>
      </c>
      <c r="W26" s="32">
        <f t="shared" si="6"/>
        <v>0</v>
      </c>
      <c r="X26" s="32">
        <f t="shared" si="6"/>
        <v>0</v>
      </c>
      <c r="Y26" s="32">
        <f t="shared" si="6"/>
        <v>0</v>
      </c>
      <c r="Z26" s="32">
        <f t="shared" si="6"/>
        <v>0</v>
      </c>
      <c r="AA26" s="32">
        <f t="shared" si="6"/>
        <v>0</v>
      </c>
      <c r="AB26" s="32">
        <f t="shared" si="6"/>
        <v>0</v>
      </c>
      <c r="AC26" s="32">
        <f t="shared" si="6"/>
        <v>0</v>
      </c>
      <c r="AD26" s="32">
        <f t="shared" si="6"/>
        <v>0</v>
      </c>
      <c r="AE26" s="71">
        <f t="shared" si="6"/>
        <v>86453.2</v>
      </c>
      <c r="AF26" s="71">
        <f t="shared" si="6"/>
        <v>150000</v>
      </c>
      <c r="AG26" s="72">
        <f t="shared" si="6"/>
        <v>0</v>
      </c>
      <c r="AH26" s="36" t="s">
        <v>943</v>
      </c>
      <c r="AI26" s="36" t="s">
        <v>943</v>
      </c>
      <c r="AJ26" s="36" t="s">
        <v>943</v>
      </c>
    </row>
    <row r="27" spans="1:36" s="21" customFormat="1" ht="61.5" x14ac:dyDescent="0.85">
      <c r="A27" s="21">
        <v>1</v>
      </c>
      <c r="B27" s="70">
        <f>SUBTOTAL(103,$A$13:A27)</f>
        <v>12</v>
      </c>
      <c r="C27" s="25" t="s">
        <v>1145</v>
      </c>
      <c r="D27" s="72" t="s">
        <v>1116</v>
      </c>
      <c r="E27" s="73">
        <v>1</v>
      </c>
      <c r="F27" s="32">
        <f t="shared" si="3"/>
        <v>6000000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82">
        <v>0</v>
      </c>
      <c r="N27" s="32">
        <v>0</v>
      </c>
      <c r="O27" s="32">
        <v>1250</v>
      </c>
      <c r="P27" s="32">
        <v>5763546.7999999998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71">
        <f>ROUND(P27*1.5%,2)</f>
        <v>86453.2</v>
      </c>
      <c r="AF27" s="71">
        <v>150000</v>
      </c>
      <c r="AG27" s="72">
        <v>0</v>
      </c>
      <c r="AH27" s="36">
        <v>2020</v>
      </c>
      <c r="AI27" s="36">
        <v>2020</v>
      </c>
      <c r="AJ27" s="36">
        <v>2020</v>
      </c>
    </row>
    <row r="28" spans="1:36" s="21" customFormat="1" ht="61.5" x14ac:dyDescent="0.85">
      <c r="B28" s="74" t="s">
        <v>876</v>
      </c>
      <c r="C28" s="25"/>
      <c r="D28" s="72" t="s">
        <v>943</v>
      </c>
      <c r="E28" s="73">
        <f>AVERAGE(E29)</f>
        <v>1.0308999999999999</v>
      </c>
      <c r="F28" s="32">
        <f>F29</f>
        <v>1405440</v>
      </c>
      <c r="G28" s="32">
        <f t="shared" ref="G28:AG28" si="7">G29</f>
        <v>0</v>
      </c>
      <c r="H28" s="32">
        <f t="shared" si="7"/>
        <v>0</v>
      </c>
      <c r="I28" s="32">
        <f t="shared" si="7"/>
        <v>0</v>
      </c>
      <c r="J28" s="32">
        <f t="shared" si="7"/>
        <v>0</v>
      </c>
      <c r="K28" s="32">
        <f t="shared" si="7"/>
        <v>0</v>
      </c>
      <c r="L28" s="32">
        <f t="shared" si="7"/>
        <v>0</v>
      </c>
      <c r="M28" s="82">
        <f t="shared" si="7"/>
        <v>0</v>
      </c>
      <c r="N28" s="32">
        <f t="shared" si="7"/>
        <v>0</v>
      </c>
      <c r="O28" s="32">
        <f t="shared" si="7"/>
        <v>292.8</v>
      </c>
      <c r="P28" s="32">
        <f t="shared" si="7"/>
        <v>1296000</v>
      </c>
      <c r="Q28" s="32">
        <f t="shared" si="7"/>
        <v>0</v>
      </c>
      <c r="R28" s="32">
        <f t="shared" si="7"/>
        <v>0</v>
      </c>
      <c r="S28" s="32">
        <f t="shared" si="7"/>
        <v>0</v>
      </c>
      <c r="T28" s="32">
        <f t="shared" si="7"/>
        <v>0</v>
      </c>
      <c r="U28" s="32">
        <f t="shared" si="7"/>
        <v>0</v>
      </c>
      <c r="V28" s="32">
        <f t="shared" si="7"/>
        <v>0</v>
      </c>
      <c r="W28" s="32">
        <f t="shared" si="7"/>
        <v>0</v>
      </c>
      <c r="X28" s="32">
        <f t="shared" si="7"/>
        <v>0</v>
      </c>
      <c r="Y28" s="32">
        <f t="shared" si="7"/>
        <v>0</v>
      </c>
      <c r="Z28" s="32">
        <f t="shared" si="7"/>
        <v>0</v>
      </c>
      <c r="AA28" s="32">
        <f t="shared" si="7"/>
        <v>0</v>
      </c>
      <c r="AB28" s="32">
        <f t="shared" si="7"/>
        <v>0</v>
      </c>
      <c r="AC28" s="32">
        <f t="shared" si="7"/>
        <v>0</v>
      </c>
      <c r="AD28" s="32">
        <f t="shared" si="7"/>
        <v>0</v>
      </c>
      <c r="AE28" s="71">
        <f t="shared" si="7"/>
        <v>19440</v>
      </c>
      <c r="AF28" s="71">
        <f t="shared" si="7"/>
        <v>90000</v>
      </c>
      <c r="AG28" s="72">
        <f t="shared" si="7"/>
        <v>0</v>
      </c>
      <c r="AH28" s="36" t="s">
        <v>943</v>
      </c>
      <c r="AI28" s="36" t="s">
        <v>943</v>
      </c>
      <c r="AJ28" s="36" t="s">
        <v>943</v>
      </c>
    </row>
    <row r="29" spans="1:36" s="21" customFormat="1" ht="61.5" x14ac:dyDescent="0.85">
      <c r="A29" s="21">
        <v>1</v>
      </c>
      <c r="B29" s="70">
        <f>SUBTOTAL(103,$A$13:A29)</f>
        <v>13</v>
      </c>
      <c r="C29" s="25" t="s">
        <v>1097</v>
      </c>
      <c r="D29" s="72" t="s">
        <v>1112</v>
      </c>
      <c r="E29" s="73">
        <v>1.0308999999999999</v>
      </c>
      <c r="F29" s="32">
        <f t="shared" si="3"/>
        <v>1405440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82">
        <v>0</v>
      </c>
      <c r="N29" s="32">
        <v>0</v>
      </c>
      <c r="O29" s="32">
        <v>292.8</v>
      </c>
      <c r="P29" s="32">
        <v>1296000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71">
        <f>ROUND(P29*1.5%,2)</f>
        <v>19440</v>
      </c>
      <c r="AF29" s="71">
        <v>90000</v>
      </c>
      <c r="AG29" s="72">
        <v>0</v>
      </c>
      <c r="AH29" s="36">
        <v>2020</v>
      </c>
      <c r="AI29" s="36">
        <v>2020</v>
      </c>
      <c r="AJ29" s="36">
        <v>2020</v>
      </c>
    </row>
    <row r="30" spans="1:36" s="21" customFormat="1" ht="61.5" x14ac:dyDescent="0.85">
      <c r="B30" s="74" t="s">
        <v>1121</v>
      </c>
      <c r="C30" s="25"/>
      <c r="D30" s="72" t="s">
        <v>943</v>
      </c>
      <c r="E30" s="73">
        <f>AVERAGE(E31:E32)</f>
        <v>1.0206</v>
      </c>
      <c r="F30" s="32">
        <f t="shared" ref="F30:AG30" si="8">SUM(F31:F32)</f>
        <v>3363253.9701477829</v>
      </c>
      <c r="G30" s="32">
        <f t="shared" si="8"/>
        <v>0</v>
      </c>
      <c r="H30" s="32">
        <f t="shared" si="8"/>
        <v>0</v>
      </c>
      <c r="I30" s="32">
        <f t="shared" si="8"/>
        <v>0</v>
      </c>
      <c r="J30" s="32">
        <f t="shared" si="8"/>
        <v>0</v>
      </c>
      <c r="K30" s="32">
        <f t="shared" si="8"/>
        <v>0</v>
      </c>
      <c r="L30" s="32">
        <f t="shared" si="8"/>
        <v>0</v>
      </c>
      <c r="M30" s="82">
        <f t="shared" si="8"/>
        <v>0</v>
      </c>
      <c r="N30" s="32">
        <f t="shared" si="8"/>
        <v>0</v>
      </c>
      <c r="O30" s="32">
        <f t="shared" si="8"/>
        <v>380</v>
      </c>
      <c r="P30" s="32">
        <f t="shared" si="8"/>
        <v>1708374.38</v>
      </c>
      <c r="Q30" s="32">
        <f t="shared" si="8"/>
        <v>0</v>
      </c>
      <c r="R30" s="32">
        <f t="shared" si="8"/>
        <v>0</v>
      </c>
      <c r="S30" s="32">
        <f t="shared" si="8"/>
        <v>429.61</v>
      </c>
      <c r="T30" s="32">
        <f t="shared" si="8"/>
        <v>1408131.9901477832</v>
      </c>
      <c r="U30" s="32">
        <f t="shared" si="8"/>
        <v>0</v>
      </c>
      <c r="V30" s="32">
        <f t="shared" si="8"/>
        <v>0</v>
      </c>
      <c r="W30" s="32">
        <f t="shared" si="8"/>
        <v>0</v>
      </c>
      <c r="X30" s="32">
        <f t="shared" si="8"/>
        <v>0</v>
      </c>
      <c r="Y30" s="32">
        <f t="shared" si="8"/>
        <v>0</v>
      </c>
      <c r="Z30" s="32">
        <f t="shared" si="8"/>
        <v>0</v>
      </c>
      <c r="AA30" s="32">
        <f t="shared" si="8"/>
        <v>0</v>
      </c>
      <c r="AB30" s="32">
        <f t="shared" si="8"/>
        <v>0</v>
      </c>
      <c r="AC30" s="32">
        <f t="shared" si="8"/>
        <v>0</v>
      </c>
      <c r="AD30" s="32">
        <f t="shared" si="8"/>
        <v>0</v>
      </c>
      <c r="AE30" s="71">
        <f t="shared" si="8"/>
        <v>46747.6</v>
      </c>
      <c r="AF30" s="71">
        <f t="shared" si="8"/>
        <v>200000</v>
      </c>
      <c r="AG30" s="72">
        <f t="shared" si="8"/>
        <v>0</v>
      </c>
      <c r="AH30" s="36" t="s">
        <v>943</v>
      </c>
      <c r="AI30" s="36" t="s">
        <v>943</v>
      </c>
      <c r="AJ30" s="36" t="s">
        <v>943</v>
      </c>
    </row>
    <row r="31" spans="1:36" s="21" customFormat="1" ht="61.5" x14ac:dyDescent="0.85">
      <c r="A31" s="21">
        <v>1</v>
      </c>
      <c r="B31" s="70">
        <f>SUBTOTAL(103,$A$13:A31)</f>
        <v>14</v>
      </c>
      <c r="C31" s="25" t="s">
        <v>1098</v>
      </c>
      <c r="D31" s="72" t="s">
        <v>1115</v>
      </c>
      <c r="E31" s="73">
        <v>1.0385</v>
      </c>
      <c r="F31" s="32">
        <f t="shared" si="3"/>
        <v>1824000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82">
        <v>0</v>
      </c>
      <c r="N31" s="32">
        <v>0</v>
      </c>
      <c r="O31" s="32">
        <v>380</v>
      </c>
      <c r="P31" s="32">
        <v>1708374.38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71">
        <f>ROUND(P31*1.5%,2)</f>
        <v>25625.62</v>
      </c>
      <c r="AF31" s="71">
        <v>90000</v>
      </c>
      <c r="AG31" s="72">
        <v>0</v>
      </c>
      <c r="AH31" s="36">
        <v>2020</v>
      </c>
      <c r="AI31" s="36">
        <v>2020</v>
      </c>
      <c r="AJ31" s="36">
        <v>2020</v>
      </c>
    </row>
    <row r="32" spans="1:36" s="21" customFormat="1" ht="61.5" x14ac:dyDescent="0.85">
      <c r="A32" s="21">
        <v>1</v>
      </c>
      <c r="B32" s="70">
        <f>SUBTOTAL(103,$A$13:A32)</f>
        <v>15</v>
      </c>
      <c r="C32" s="25" t="s">
        <v>1099</v>
      </c>
      <c r="D32" s="72" t="s">
        <v>1115</v>
      </c>
      <c r="E32" s="73">
        <v>1.0026999999999999</v>
      </c>
      <c r="F32" s="32">
        <f t="shared" si="3"/>
        <v>1539253.9701477832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82">
        <v>0</v>
      </c>
      <c r="N32" s="32">
        <v>0</v>
      </c>
      <c r="O32" s="32">
        <v>0</v>
      </c>
      <c r="P32" s="32">
        <v>0</v>
      </c>
      <c r="Q32" s="32">
        <v>0</v>
      </c>
      <c r="R32" s="32">
        <v>0</v>
      </c>
      <c r="S32" s="32">
        <v>429.61</v>
      </c>
      <c r="T32" s="32">
        <v>1408131.9901477832</v>
      </c>
      <c r="U32" s="32">
        <v>0</v>
      </c>
      <c r="V32" s="32">
        <v>0</v>
      </c>
      <c r="W32" s="32">
        <v>0</v>
      </c>
      <c r="X32" s="32">
        <v>0</v>
      </c>
      <c r="Y32" s="32">
        <v>0</v>
      </c>
      <c r="Z32" s="32">
        <v>0</v>
      </c>
      <c r="AA32" s="32">
        <v>0</v>
      </c>
      <c r="AB32" s="32">
        <v>0</v>
      </c>
      <c r="AC32" s="32">
        <v>0</v>
      </c>
      <c r="AD32" s="32">
        <v>0</v>
      </c>
      <c r="AE32" s="71">
        <f>ROUND(T32*1.5%,2)</f>
        <v>21121.98</v>
      </c>
      <c r="AF32" s="71">
        <v>110000</v>
      </c>
      <c r="AG32" s="72">
        <v>0</v>
      </c>
      <c r="AH32" s="36">
        <v>2020</v>
      </c>
      <c r="AI32" s="36">
        <v>2020</v>
      </c>
      <c r="AJ32" s="36">
        <v>2020</v>
      </c>
    </row>
    <row r="33" spans="1:36" s="21" customFormat="1" ht="61.5" x14ac:dyDescent="0.85">
      <c r="B33" s="74" t="s">
        <v>883</v>
      </c>
      <c r="C33" s="25"/>
      <c r="D33" s="72" t="s">
        <v>943</v>
      </c>
      <c r="E33" s="73">
        <f>AVERAGE(E34:E35)</f>
        <v>1</v>
      </c>
      <c r="F33" s="32">
        <f>SUM(F34:F35)</f>
        <v>3465600.02</v>
      </c>
      <c r="G33" s="32">
        <f t="shared" ref="G33:AG33" si="9">SUM(G34:G35)</f>
        <v>0</v>
      </c>
      <c r="H33" s="32">
        <f t="shared" si="9"/>
        <v>0</v>
      </c>
      <c r="I33" s="32">
        <f t="shared" si="9"/>
        <v>0</v>
      </c>
      <c r="J33" s="32">
        <f t="shared" si="9"/>
        <v>0</v>
      </c>
      <c r="K33" s="32">
        <f t="shared" si="9"/>
        <v>0</v>
      </c>
      <c r="L33" s="32">
        <f t="shared" si="9"/>
        <v>0</v>
      </c>
      <c r="M33" s="82">
        <f t="shared" si="9"/>
        <v>0</v>
      </c>
      <c r="N33" s="32">
        <f t="shared" si="9"/>
        <v>0</v>
      </c>
      <c r="O33" s="32">
        <f t="shared" si="9"/>
        <v>722</v>
      </c>
      <c r="P33" s="32">
        <f t="shared" si="9"/>
        <v>3227192.12</v>
      </c>
      <c r="Q33" s="32">
        <f t="shared" si="9"/>
        <v>0</v>
      </c>
      <c r="R33" s="32">
        <f t="shared" si="9"/>
        <v>0</v>
      </c>
      <c r="S33" s="32">
        <f t="shared" si="9"/>
        <v>0</v>
      </c>
      <c r="T33" s="32">
        <f t="shared" si="9"/>
        <v>0</v>
      </c>
      <c r="U33" s="32">
        <f t="shared" si="9"/>
        <v>0</v>
      </c>
      <c r="V33" s="32">
        <f t="shared" si="9"/>
        <v>0</v>
      </c>
      <c r="W33" s="32">
        <f t="shared" si="9"/>
        <v>0</v>
      </c>
      <c r="X33" s="32">
        <f t="shared" si="9"/>
        <v>0</v>
      </c>
      <c r="Y33" s="32">
        <f t="shared" si="9"/>
        <v>0</v>
      </c>
      <c r="Z33" s="32">
        <f t="shared" si="9"/>
        <v>0</v>
      </c>
      <c r="AA33" s="32">
        <f t="shared" si="9"/>
        <v>0</v>
      </c>
      <c r="AB33" s="32">
        <f t="shared" si="9"/>
        <v>0</v>
      </c>
      <c r="AC33" s="32">
        <f t="shared" si="9"/>
        <v>0</v>
      </c>
      <c r="AD33" s="32">
        <f t="shared" si="9"/>
        <v>0</v>
      </c>
      <c r="AE33" s="71">
        <f t="shared" si="9"/>
        <v>48407.88</v>
      </c>
      <c r="AF33" s="71">
        <f t="shared" si="9"/>
        <v>190000.02000000002</v>
      </c>
      <c r="AG33" s="72">
        <f t="shared" si="9"/>
        <v>0</v>
      </c>
      <c r="AH33" s="36" t="s">
        <v>943</v>
      </c>
      <c r="AI33" s="36" t="s">
        <v>943</v>
      </c>
      <c r="AJ33" s="36" t="s">
        <v>943</v>
      </c>
    </row>
    <row r="34" spans="1:36" s="21" customFormat="1" ht="61.5" x14ac:dyDescent="0.85">
      <c r="A34" s="21">
        <v>1</v>
      </c>
      <c r="B34" s="70">
        <f>SUBTOTAL(103,$A$13:A34)</f>
        <v>16</v>
      </c>
      <c r="C34" s="25" t="s">
        <v>1119</v>
      </c>
      <c r="D34" s="72" t="s">
        <v>1113</v>
      </c>
      <c r="E34" s="73">
        <v>1</v>
      </c>
      <c r="F34" s="32">
        <f t="shared" si="3"/>
        <v>2667360.02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82">
        <v>0</v>
      </c>
      <c r="N34" s="32">
        <v>0</v>
      </c>
      <c r="O34" s="32">
        <v>555.70000000000005</v>
      </c>
      <c r="P34" s="32">
        <v>2529418.7200000002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0</v>
      </c>
      <c r="AD34" s="32">
        <v>0</v>
      </c>
      <c r="AE34" s="71">
        <f>ROUND(P34*1.5%,2)</f>
        <v>37941.279999999999</v>
      </c>
      <c r="AF34" s="71">
        <v>100000.02</v>
      </c>
      <c r="AG34" s="72">
        <v>0</v>
      </c>
      <c r="AH34" s="36">
        <v>2020</v>
      </c>
      <c r="AI34" s="36">
        <v>2020</v>
      </c>
      <c r="AJ34" s="36">
        <v>2020</v>
      </c>
    </row>
    <row r="35" spans="1:36" s="21" customFormat="1" ht="61.5" x14ac:dyDescent="0.85">
      <c r="A35" s="21">
        <v>1</v>
      </c>
      <c r="B35" s="70">
        <f>SUBTOTAL(103,$A$13:A35)</f>
        <v>17</v>
      </c>
      <c r="C35" s="25" t="s">
        <v>1100</v>
      </c>
      <c r="D35" s="72" t="s">
        <v>1113</v>
      </c>
      <c r="E35" s="73">
        <v>1</v>
      </c>
      <c r="F35" s="32">
        <f t="shared" si="3"/>
        <v>798240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82">
        <v>0</v>
      </c>
      <c r="N35" s="32">
        <v>0</v>
      </c>
      <c r="O35" s="32">
        <v>166.3</v>
      </c>
      <c r="P35" s="32">
        <v>697773.4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71">
        <f>ROUND(P35*1.5%,2)</f>
        <v>10466.6</v>
      </c>
      <c r="AF35" s="71">
        <v>90000</v>
      </c>
      <c r="AG35" s="72">
        <v>0</v>
      </c>
      <c r="AH35" s="36">
        <v>2020</v>
      </c>
      <c r="AI35" s="36">
        <v>2020</v>
      </c>
      <c r="AJ35" s="36">
        <v>2020</v>
      </c>
    </row>
    <row r="36" spans="1:36" s="21" customFormat="1" ht="61.5" x14ac:dyDescent="0.85">
      <c r="B36" s="74" t="s">
        <v>810</v>
      </c>
      <c r="C36" s="25"/>
      <c r="D36" s="72" t="s">
        <v>943</v>
      </c>
      <c r="E36" s="73">
        <f>AVERAGE(E37:E41)</f>
        <v>1.0075000000000001</v>
      </c>
      <c r="F36" s="32">
        <f>SUM(F37:F39)</f>
        <v>5920666.21</v>
      </c>
      <c r="G36" s="32">
        <f t="shared" ref="G36:AG36" si="10">SUM(G37:G39)</f>
        <v>0</v>
      </c>
      <c r="H36" s="32">
        <f t="shared" si="10"/>
        <v>0</v>
      </c>
      <c r="I36" s="32">
        <f t="shared" si="10"/>
        <v>0</v>
      </c>
      <c r="J36" s="32">
        <f t="shared" si="10"/>
        <v>0</v>
      </c>
      <c r="K36" s="32">
        <f t="shared" si="10"/>
        <v>0</v>
      </c>
      <c r="L36" s="32">
        <f t="shared" si="10"/>
        <v>0</v>
      </c>
      <c r="M36" s="82">
        <f t="shared" si="10"/>
        <v>0</v>
      </c>
      <c r="N36" s="32">
        <f t="shared" si="10"/>
        <v>0</v>
      </c>
      <c r="O36" s="32">
        <f t="shared" si="10"/>
        <v>1215.3400000000001</v>
      </c>
      <c r="P36" s="32">
        <f t="shared" si="10"/>
        <v>5547454.3900000006</v>
      </c>
      <c r="Q36" s="32">
        <f t="shared" si="10"/>
        <v>0</v>
      </c>
      <c r="R36" s="32">
        <f t="shared" si="10"/>
        <v>0</v>
      </c>
      <c r="S36" s="32">
        <f t="shared" si="10"/>
        <v>0</v>
      </c>
      <c r="T36" s="32">
        <f t="shared" si="10"/>
        <v>0</v>
      </c>
      <c r="U36" s="32">
        <f t="shared" si="10"/>
        <v>0</v>
      </c>
      <c r="V36" s="32">
        <f t="shared" si="10"/>
        <v>0</v>
      </c>
      <c r="W36" s="32">
        <f t="shared" si="10"/>
        <v>0</v>
      </c>
      <c r="X36" s="32">
        <f t="shared" si="10"/>
        <v>0</v>
      </c>
      <c r="Y36" s="32">
        <f t="shared" si="10"/>
        <v>0</v>
      </c>
      <c r="Z36" s="32">
        <f t="shared" si="10"/>
        <v>0</v>
      </c>
      <c r="AA36" s="32">
        <f t="shared" si="10"/>
        <v>0</v>
      </c>
      <c r="AB36" s="32">
        <f t="shared" si="10"/>
        <v>0</v>
      </c>
      <c r="AC36" s="32">
        <f t="shared" si="10"/>
        <v>0</v>
      </c>
      <c r="AD36" s="32">
        <f t="shared" si="10"/>
        <v>0</v>
      </c>
      <c r="AE36" s="71">
        <f t="shared" si="10"/>
        <v>83211.819999999992</v>
      </c>
      <c r="AF36" s="71">
        <f t="shared" si="10"/>
        <v>290000</v>
      </c>
      <c r="AG36" s="72">
        <f t="shared" si="10"/>
        <v>0</v>
      </c>
      <c r="AH36" s="36" t="s">
        <v>943</v>
      </c>
      <c r="AI36" s="36" t="s">
        <v>943</v>
      </c>
      <c r="AJ36" s="36" t="s">
        <v>943</v>
      </c>
    </row>
    <row r="37" spans="1:36" s="21" customFormat="1" ht="61.5" x14ac:dyDescent="0.85">
      <c r="A37" s="21">
        <v>1</v>
      </c>
      <c r="B37" s="70">
        <f>SUBTOTAL(103,$A$13:A37)</f>
        <v>18</v>
      </c>
      <c r="C37" s="25" t="s">
        <v>1101</v>
      </c>
      <c r="D37" s="72" t="s">
        <v>1114</v>
      </c>
      <c r="E37" s="73">
        <v>1.0043</v>
      </c>
      <c r="F37" s="32">
        <f t="shared" si="3"/>
        <v>1077466.21</v>
      </c>
      <c r="G37" s="32">
        <v>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82">
        <v>0</v>
      </c>
      <c r="N37" s="32">
        <v>0</v>
      </c>
      <c r="O37" s="32">
        <v>206.34</v>
      </c>
      <c r="P37" s="32">
        <v>972873.11</v>
      </c>
      <c r="Q37" s="32">
        <v>0</v>
      </c>
      <c r="R37" s="32">
        <v>0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2">
        <v>0</v>
      </c>
      <c r="Y37" s="32">
        <v>0</v>
      </c>
      <c r="Z37" s="32">
        <v>0</v>
      </c>
      <c r="AA37" s="32">
        <v>0</v>
      </c>
      <c r="AB37" s="32">
        <v>0</v>
      </c>
      <c r="AC37" s="32">
        <v>0</v>
      </c>
      <c r="AD37" s="32">
        <v>0</v>
      </c>
      <c r="AE37" s="71">
        <f>ROUND(P37*1.5%,2)</f>
        <v>14593.1</v>
      </c>
      <c r="AF37" s="71">
        <v>90000</v>
      </c>
      <c r="AG37" s="72">
        <v>0</v>
      </c>
      <c r="AH37" s="36">
        <v>2020</v>
      </c>
      <c r="AI37" s="36">
        <v>2020</v>
      </c>
      <c r="AJ37" s="36">
        <v>2020</v>
      </c>
    </row>
    <row r="38" spans="1:36" s="21" customFormat="1" ht="61.5" x14ac:dyDescent="0.85">
      <c r="A38" s="21">
        <v>1</v>
      </c>
      <c r="B38" s="70">
        <f>SUBTOTAL(103,$A$13:A38)</f>
        <v>19</v>
      </c>
      <c r="C38" s="25" t="s">
        <v>835</v>
      </c>
      <c r="D38" s="72" t="s">
        <v>1114</v>
      </c>
      <c r="E38" s="73">
        <v>1.0185999999999999</v>
      </c>
      <c r="F38" s="32">
        <f t="shared" si="3"/>
        <v>2764800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82">
        <v>0</v>
      </c>
      <c r="N38" s="32">
        <v>0</v>
      </c>
      <c r="O38" s="32">
        <v>576</v>
      </c>
      <c r="P38" s="32">
        <v>2625418.7200000002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0</v>
      </c>
      <c r="AD38" s="32">
        <v>0</v>
      </c>
      <c r="AE38" s="71">
        <f>ROUND(P38*1.5%,2)</f>
        <v>39381.279999999999</v>
      </c>
      <c r="AF38" s="71">
        <v>100000</v>
      </c>
      <c r="AG38" s="72">
        <v>0</v>
      </c>
      <c r="AH38" s="36">
        <v>2020</v>
      </c>
      <c r="AI38" s="36">
        <v>2020</v>
      </c>
      <c r="AJ38" s="36">
        <v>2020</v>
      </c>
    </row>
    <row r="39" spans="1:36" s="21" customFormat="1" ht="61.5" x14ac:dyDescent="0.85">
      <c r="A39" s="21">
        <v>1</v>
      </c>
      <c r="B39" s="70">
        <f>SUBTOTAL(103,$A$13:A39)</f>
        <v>20</v>
      </c>
      <c r="C39" s="25" t="s">
        <v>826</v>
      </c>
      <c r="D39" s="72" t="s">
        <v>1114</v>
      </c>
      <c r="E39" s="73">
        <v>1.0064</v>
      </c>
      <c r="F39" s="32">
        <f t="shared" si="3"/>
        <v>2078400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82">
        <v>0</v>
      </c>
      <c r="N39" s="32">
        <v>0</v>
      </c>
      <c r="O39" s="32">
        <v>433</v>
      </c>
      <c r="P39" s="32">
        <v>1949162.56</v>
      </c>
      <c r="Q39" s="32">
        <v>0</v>
      </c>
      <c r="R39" s="32">
        <v>0</v>
      </c>
      <c r="S39" s="32">
        <v>0</v>
      </c>
      <c r="T39" s="32">
        <v>0</v>
      </c>
      <c r="U39" s="32">
        <v>0</v>
      </c>
      <c r="V39" s="32">
        <v>0</v>
      </c>
      <c r="W39" s="32">
        <v>0</v>
      </c>
      <c r="X39" s="32">
        <v>0</v>
      </c>
      <c r="Y39" s="32">
        <v>0</v>
      </c>
      <c r="Z39" s="32">
        <v>0</v>
      </c>
      <c r="AA39" s="32">
        <v>0</v>
      </c>
      <c r="AB39" s="32">
        <v>0</v>
      </c>
      <c r="AC39" s="32">
        <v>0</v>
      </c>
      <c r="AD39" s="32">
        <v>0</v>
      </c>
      <c r="AE39" s="71">
        <f>ROUND(P39*1.5%,2)</f>
        <v>29237.439999999999</v>
      </c>
      <c r="AF39" s="71">
        <v>100000</v>
      </c>
      <c r="AG39" s="72">
        <v>0</v>
      </c>
      <c r="AH39" s="36">
        <v>2020</v>
      </c>
      <c r="AI39" s="36">
        <v>2020</v>
      </c>
      <c r="AJ39" s="36">
        <v>2020</v>
      </c>
    </row>
    <row r="40" spans="1:36" s="21" customFormat="1" ht="61.5" x14ac:dyDescent="0.85">
      <c r="B40" s="74" t="s">
        <v>890</v>
      </c>
      <c r="C40" s="25"/>
      <c r="D40" s="72" t="s">
        <v>943</v>
      </c>
      <c r="E40" s="73">
        <f>AVERAGE(E41)</f>
        <v>1.0041</v>
      </c>
      <c r="F40" s="32">
        <f>F41</f>
        <v>2154384</v>
      </c>
      <c r="G40" s="32">
        <f t="shared" ref="G40:AG40" si="11">G41</f>
        <v>0</v>
      </c>
      <c r="H40" s="32">
        <f t="shared" si="11"/>
        <v>0</v>
      </c>
      <c r="I40" s="32">
        <f t="shared" si="11"/>
        <v>0</v>
      </c>
      <c r="J40" s="32">
        <f t="shared" si="11"/>
        <v>0</v>
      </c>
      <c r="K40" s="32">
        <f t="shared" si="11"/>
        <v>0</v>
      </c>
      <c r="L40" s="32">
        <f t="shared" si="11"/>
        <v>0</v>
      </c>
      <c r="M40" s="82">
        <f t="shared" si="11"/>
        <v>0</v>
      </c>
      <c r="N40" s="32">
        <f t="shared" si="11"/>
        <v>0</v>
      </c>
      <c r="O40" s="32">
        <f t="shared" si="11"/>
        <v>448.83</v>
      </c>
      <c r="P40" s="32">
        <f t="shared" si="11"/>
        <v>2033875.86</v>
      </c>
      <c r="Q40" s="32">
        <f t="shared" si="11"/>
        <v>0</v>
      </c>
      <c r="R40" s="32">
        <f t="shared" si="11"/>
        <v>0</v>
      </c>
      <c r="S40" s="32">
        <f t="shared" si="11"/>
        <v>0</v>
      </c>
      <c r="T40" s="32">
        <f t="shared" si="11"/>
        <v>0</v>
      </c>
      <c r="U40" s="32">
        <f t="shared" si="11"/>
        <v>0</v>
      </c>
      <c r="V40" s="32">
        <f t="shared" si="11"/>
        <v>0</v>
      </c>
      <c r="W40" s="32">
        <f t="shared" si="11"/>
        <v>0</v>
      </c>
      <c r="X40" s="32">
        <f t="shared" si="11"/>
        <v>0</v>
      </c>
      <c r="Y40" s="32">
        <f t="shared" si="11"/>
        <v>0</v>
      </c>
      <c r="Z40" s="32">
        <f t="shared" si="11"/>
        <v>0</v>
      </c>
      <c r="AA40" s="32">
        <f t="shared" si="11"/>
        <v>0</v>
      </c>
      <c r="AB40" s="32">
        <f t="shared" si="11"/>
        <v>0</v>
      </c>
      <c r="AC40" s="32">
        <f t="shared" si="11"/>
        <v>0</v>
      </c>
      <c r="AD40" s="32">
        <f t="shared" si="11"/>
        <v>0</v>
      </c>
      <c r="AE40" s="71">
        <f t="shared" si="11"/>
        <v>30508.14</v>
      </c>
      <c r="AF40" s="71">
        <f t="shared" si="11"/>
        <v>90000</v>
      </c>
      <c r="AG40" s="72">
        <f t="shared" si="11"/>
        <v>0</v>
      </c>
      <c r="AH40" s="36" t="s">
        <v>943</v>
      </c>
      <c r="AI40" s="36" t="s">
        <v>943</v>
      </c>
      <c r="AJ40" s="36" t="s">
        <v>943</v>
      </c>
    </row>
    <row r="41" spans="1:36" s="21" customFormat="1" ht="61.5" x14ac:dyDescent="0.85">
      <c r="A41" s="21">
        <v>1</v>
      </c>
      <c r="B41" s="70">
        <f>SUBTOTAL(103,$A$13:A41)</f>
        <v>21</v>
      </c>
      <c r="C41" s="25" t="s">
        <v>1102</v>
      </c>
      <c r="D41" s="72" t="s">
        <v>1113</v>
      </c>
      <c r="E41" s="73">
        <v>1.0041</v>
      </c>
      <c r="F41" s="32">
        <f t="shared" si="3"/>
        <v>2154384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82">
        <v>0</v>
      </c>
      <c r="N41" s="32">
        <v>0</v>
      </c>
      <c r="O41" s="32">
        <v>448.83</v>
      </c>
      <c r="P41" s="32">
        <v>2033875.86</v>
      </c>
      <c r="Q41" s="32">
        <v>0</v>
      </c>
      <c r="R41" s="32">
        <v>0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2">
        <v>0</v>
      </c>
      <c r="Y41" s="32">
        <v>0</v>
      </c>
      <c r="Z41" s="32">
        <v>0</v>
      </c>
      <c r="AA41" s="32">
        <v>0</v>
      </c>
      <c r="AB41" s="32">
        <v>0</v>
      </c>
      <c r="AC41" s="32">
        <v>0</v>
      </c>
      <c r="AD41" s="32">
        <v>0</v>
      </c>
      <c r="AE41" s="71">
        <f>ROUND(P41*1.5%,2)</f>
        <v>30508.14</v>
      </c>
      <c r="AF41" s="71">
        <v>90000</v>
      </c>
      <c r="AG41" s="72">
        <v>0</v>
      </c>
      <c r="AH41" s="36">
        <v>2020</v>
      </c>
      <c r="AI41" s="36">
        <v>2020</v>
      </c>
      <c r="AJ41" s="36">
        <v>2020</v>
      </c>
    </row>
    <row r="42" spans="1:36" s="21" customFormat="1" ht="61.5" x14ac:dyDescent="0.85">
      <c r="B42" s="74" t="s">
        <v>892</v>
      </c>
      <c r="C42" s="25"/>
      <c r="D42" s="72" t="s">
        <v>943</v>
      </c>
      <c r="E42" s="73">
        <f>AVERAGE(E43)</f>
        <v>1</v>
      </c>
      <c r="F42" s="32">
        <f>F43</f>
        <v>5328000</v>
      </c>
      <c r="G42" s="32">
        <f t="shared" ref="G42:AG42" si="12">G43</f>
        <v>0</v>
      </c>
      <c r="H42" s="32">
        <f t="shared" si="12"/>
        <v>0</v>
      </c>
      <c r="I42" s="32">
        <f t="shared" si="12"/>
        <v>0</v>
      </c>
      <c r="J42" s="32">
        <f t="shared" si="12"/>
        <v>0</v>
      </c>
      <c r="K42" s="32">
        <f t="shared" si="12"/>
        <v>0</v>
      </c>
      <c r="L42" s="32">
        <f t="shared" si="12"/>
        <v>0</v>
      </c>
      <c r="M42" s="82">
        <f t="shared" si="12"/>
        <v>0</v>
      </c>
      <c r="N42" s="32">
        <f t="shared" si="12"/>
        <v>0</v>
      </c>
      <c r="O42" s="32">
        <f t="shared" si="12"/>
        <v>1110</v>
      </c>
      <c r="P42" s="32">
        <f t="shared" si="12"/>
        <v>5101477.83</v>
      </c>
      <c r="Q42" s="32">
        <f t="shared" si="12"/>
        <v>0</v>
      </c>
      <c r="R42" s="32">
        <f t="shared" si="12"/>
        <v>0</v>
      </c>
      <c r="S42" s="32">
        <f t="shared" si="12"/>
        <v>0</v>
      </c>
      <c r="T42" s="32">
        <f t="shared" si="12"/>
        <v>0</v>
      </c>
      <c r="U42" s="32">
        <f t="shared" si="12"/>
        <v>0</v>
      </c>
      <c r="V42" s="32">
        <f t="shared" si="12"/>
        <v>0</v>
      </c>
      <c r="W42" s="32">
        <f t="shared" si="12"/>
        <v>0</v>
      </c>
      <c r="X42" s="32">
        <f t="shared" si="12"/>
        <v>0</v>
      </c>
      <c r="Y42" s="32">
        <f t="shared" si="12"/>
        <v>0</v>
      </c>
      <c r="Z42" s="32">
        <f t="shared" si="12"/>
        <v>0</v>
      </c>
      <c r="AA42" s="32">
        <f t="shared" si="12"/>
        <v>0</v>
      </c>
      <c r="AB42" s="32">
        <f t="shared" si="12"/>
        <v>0</v>
      </c>
      <c r="AC42" s="32">
        <f t="shared" si="12"/>
        <v>0</v>
      </c>
      <c r="AD42" s="32">
        <f t="shared" si="12"/>
        <v>0</v>
      </c>
      <c r="AE42" s="71">
        <f t="shared" si="12"/>
        <v>76522.17</v>
      </c>
      <c r="AF42" s="71">
        <f t="shared" si="12"/>
        <v>150000</v>
      </c>
      <c r="AG42" s="72">
        <f t="shared" si="12"/>
        <v>0</v>
      </c>
      <c r="AH42" s="36" t="s">
        <v>943</v>
      </c>
      <c r="AI42" s="36" t="s">
        <v>943</v>
      </c>
      <c r="AJ42" s="36" t="s">
        <v>943</v>
      </c>
    </row>
    <row r="43" spans="1:36" s="21" customFormat="1" ht="61.5" x14ac:dyDescent="0.85">
      <c r="A43" s="21">
        <v>1</v>
      </c>
      <c r="B43" s="70">
        <f>SUBTOTAL(103,$A$13:A43)</f>
        <v>22</v>
      </c>
      <c r="C43" s="25" t="s">
        <v>1103</v>
      </c>
      <c r="D43" s="72" t="s">
        <v>1115</v>
      </c>
      <c r="E43" s="73">
        <v>1</v>
      </c>
      <c r="F43" s="32">
        <f t="shared" si="3"/>
        <v>5328000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82">
        <v>0</v>
      </c>
      <c r="N43" s="32">
        <v>0</v>
      </c>
      <c r="O43" s="32">
        <v>1110</v>
      </c>
      <c r="P43" s="32">
        <v>5101477.83</v>
      </c>
      <c r="Q43" s="32">
        <v>0</v>
      </c>
      <c r="R43" s="32">
        <v>0</v>
      </c>
      <c r="S43" s="32">
        <v>0</v>
      </c>
      <c r="T43" s="32">
        <v>0</v>
      </c>
      <c r="U43" s="32">
        <v>0</v>
      </c>
      <c r="V43" s="32">
        <v>0</v>
      </c>
      <c r="W43" s="32">
        <v>0</v>
      </c>
      <c r="X43" s="32">
        <v>0</v>
      </c>
      <c r="Y43" s="32">
        <v>0</v>
      </c>
      <c r="Z43" s="32">
        <v>0</v>
      </c>
      <c r="AA43" s="32">
        <v>0</v>
      </c>
      <c r="AB43" s="32">
        <v>0</v>
      </c>
      <c r="AC43" s="32">
        <v>0</v>
      </c>
      <c r="AD43" s="32">
        <v>0</v>
      </c>
      <c r="AE43" s="71">
        <f>ROUND(P43*1.5%,2)</f>
        <v>76522.17</v>
      </c>
      <c r="AF43" s="71">
        <v>150000</v>
      </c>
      <c r="AG43" s="72">
        <v>0</v>
      </c>
      <c r="AH43" s="36">
        <v>2020</v>
      </c>
      <c r="AI43" s="36">
        <v>2020</v>
      </c>
      <c r="AJ43" s="36">
        <v>2020</v>
      </c>
    </row>
    <row r="44" spans="1:36" s="21" customFormat="1" ht="61.5" x14ac:dyDescent="0.85">
      <c r="B44" s="74" t="s">
        <v>1122</v>
      </c>
      <c r="C44" s="25"/>
      <c r="D44" s="72" t="s">
        <v>943</v>
      </c>
      <c r="E44" s="73">
        <f>AVERAGE(E45:E47)</f>
        <v>1.0093333333333334</v>
      </c>
      <c r="F44" s="32">
        <f t="shared" ref="F44:AG44" si="13">SUM(F45:F47)</f>
        <v>6998400</v>
      </c>
      <c r="G44" s="32">
        <f t="shared" si="13"/>
        <v>0</v>
      </c>
      <c r="H44" s="32">
        <f t="shared" si="13"/>
        <v>0</v>
      </c>
      <c r="I44" s="32">
        <f t="shared" si="13"/>
        <v>0</v>
      </c>
      <c r="J44" s="32">
        <f t="shared" si="13"/>
        <v>0</v>
      </c>
      <c r="K44" s="32">
        <f t="shared" si="13"/>
        <v>0</v>
      </c>
      <c r="L44" s="32">
        <f t="shared" si="13"/>
        <v>0</v>
      </c>
      <c r="M44" s="82">
        <f t="shared" si="13"/>
        <v>0</v>
      </c>
      <c r="N44" s="32">
        <f t="shared" si="13"/>
        <v>0</v>
      </c>
      <c r="O44" s="32">
        <f t="shared" si="13"/>
        <v>1458</v>
      </c>
      <c r="P44" s="32">
        <f t="shared" si="13"/>
        <v>6599408.8700000001</v>
      </c>
      <c r="Q44" s="32">
        <f t="shared" si="13"/>
        <v>0</v>
      </c>
      <c r="R44" s="32">
        <f t="shared" si="13"/>
        <v>0</v>
      </c>
      <c r="S44" s="32">
        <f t="shared" si="13"/>
        <v>0</v>
      </c>
      <c r="T44" s="32">
        <f t="shared" si="13"/>
        <v>0</v>
      </c>
      <c r="U44" s="32">
        <f t="shared" si="13"/>
        <v>0</v>
      </c>
      <c r="V44" s="32">
        <f t="shared" si="13"/>
        <v>0</v>
      </c>
      <c r="W44" s="32">
        <f t="shared" si="13"/>
        <v>0</v>
      </c>
      <c r="X44" s="32">
        <f t="shared" si="13"/>
        <v>0</v>
      </c>
      <c r="Y44" s="32">
        <f t="shared" si="13"/>
        <v>0</v>
      </c>
      <c r="Z44" s="32">
        <f t="shared" si="13"/>
        <v>0</v>
      </c>
      <c r="AA44" s="32">
        <f t="shared" si="13"/>
        <v>0</v>
      </c>
      <c r="AB44" s="32">
        <f t="shared" si="13"/>
        <v>0</v>
      </c>
      <c r="AC44" s="32">
        <f t="shared" si="13"/>
        <v>0</v>
      </c>
      <c r="AD44" s="32">
        <f t="shared" si="13"/>
        <v>0</v>
      </c>
      <c r="AE44" s="71">
        <f t="shared" si="13"/>
        <v>98991.13</v>
      </c>
      <c r="AF44" s="71">
        <f t="shared" si="13"/>
        <v>300000</v>
      </c>
      <c r="AG44" s="72">
        <f t="shared" si="13"/>
        <v>0</v>
      </c>
      <c r="AH44" s="36" t="s">
        <v>943</v>
      </c>
      <c r="AI44" s="36" t="s">
        <v>943</v>
      </c>
      <c r="AJ44" s="36" t="s">
        <v>943</v>
      </c>
    </row>
    <row r="45" spans="1:36" s="21" customFormat="1" ht="61.5" x14ac:dyDescent="0.85">
      <c r="A45" s="21">
        <v>1</v>
      </c>
      <c r="B45" s="70">
        <f>SUBTOTAL(103,$A$13:A45)</f>
        <v>23</v>
      </c>
      <c r="C45" s="25" t="s">
        <v>1104</v>
      </c>
      <c r="D45" s="72" t="s">
        <v>1117</v>
      </c>
      <c r="E45" s="73">
        <v>1.0093000000000001</v>
      </c>
      <c r="F45" s="32">
        <f t="shared" si="3"/>
        <v>2400000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82">
        <v>0</v>
      </c>
      <c r="N45" s="32">
        <v>0</v>
      </c>
      <c r="O45" s="32">
        <v>500</v>
      </c>
      <c r="P45" s="32">
        <v>2266009.85</v>
      </c>
      <c r="Q45" s="32">
        <v>0</v>
      </c>
      <c r="R45" s="32">
        <v>0</v>
      </c>
      <c r="S45" s="32">
        <v>0</v>
      </c>
      <c r="T45" s="32">
        <v>0</v>
      </c>
      <c r="U45" s="32">
        <v>0</v>
      </c>
      <c r="V45" s="32">
        <v>0</v>
      </c>
      <c r="W45" s="32">
        <v>0</v>
      </c>
      <c r="X45" s="32">
        <v>0</v>
      </c>
      <c r="Y45" s="32">
        <v>0</v>
      </c>
      <c r="Z45" s="32">
        <v>0</v>
      </c>
      <c r="AA45" s="32">
        <v>0</v>
      </c>
      <c r="AB45" s="32">
        <v>0</v>
      </c>
      <c r="AC45" s="32">
        <v>0</v>
      </c>
      <c r="AD45" s="32">
        <v>0</v>
      </c>
      <c r="AE45" s="71">
        <f>ROUND(P45*1.5%,2)</f>
        <v>33990.15</v>
      </c>
      <c r="AF45" s="71">
        <v>100000</v>
      </c>
      <c r="AG45" s="72">
        <v>0</v>
      </c>
      <c r="AH45" s="36">
        <v>2020</v>
      </c>
      <c r="AI45" s="36">
        <v>2020</v>
      </c>
      <c r="AJ45" s="36">
        <v>2020</v>
      </c>
    </row>
    <row r="46" spans="1:36" s="21" customFormat="1" ht="61.5" x14ac:dyDescent="0.85">
      <c r="A46" s="21">
        <v>1</v>
      </c>
      <c r="B46" s="70">
        <f>SUBTOTAL(103,$A$13:A46)</f>
        <v>24</v>
      </c>
      <c r="C46" s="25" t="s">
        <v>1105</v>
      </c>
      <c r="D46" s="72" t="s">
        <v>1113</v>
      </c>
      <c r="E46" s="73">
        <v>1.0031000000000001</v>
      </c>
      <c r="F46" s="32">
        <f t="shared" si="3"/>
        <v>2347200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82">
        <v>0</v>
      </c>
      <c r="N46" s="32">
        <v>0</v>
      </c>
      <c r="O46" s="32">
        <v>489</v>
      </c>
      <c r="P46" s="32">
        <v>2213990.15</v>
      </c>
      <c r="Q46" s="32">
        <v>0</v>
      </c>
      <c r="R46" s="32">
        <v>0</v>
      </c>
      <c r="S46" s="32">
        <v>0</v>
      </c>
      <c r="T46" s="32">
        <v>0</v>
      </c>
      <c r="U46" s="32">
        <v>0</v>
      </c>
      <c r="V46" s="32">
        <v>0</v>
      </c>
      <c r="W46" s="32">
        <v>0</v>
      </c>
      <c r="X46" s="32">
        <v>0</v>
      </c>
      <c r="Y46" s="32">
        <v>0</v>
      </c>
      <c r="Z46" s="32">
        <v>0</v>
      </c>
      <c r="AA46" s="32">
        <v>0</v>
      </c>
      <c r="AB46" s="32">
        <v>0</v>
      </c>
      <c r="AC46" s="32">
        <v>0</v>
      </c>
      <c r="AD46" s="32">
        <v>0</v>
      </c>
      <c r="AE46" s="71">
        <f>ROUND(P46*1.5%,2)</f>
        <v>33209.85</v>
      </c>
      <c r="AF46" s="71">
        <v>100000</v>
      </c>
      <c r="AG46" s="72">
        <v>0</v>
      </c>
      <c r="AH46" s="36">
        <v>2020</v>
      </c>
      <c r="AI46" s="36">
        <v>2020</v>
      </c>
      <c r="AJ46" s="36">
        <v>2020</v>
      </c>
    </row>
    <row r="47" spans="1:36" s="21" customFormat="1" ht="61.5" x14ac:dyDescent="0.85">
      <c r="A47" s="21">
        <v>1</v>
      </c>
      <c r="B47" s="70">
        <f>SUBTOTAL(103,$A$13:A47)</f>
        <v>25</v>
      </c>
      <c r="C47" s="25" t="s">
        <v>1106</v>
      </c>
      <c r="D47" s="72" t="s">
        <v>1116</v>
      </c>
      <c r="E47" s="73">
        <v>1.0156000000000001</v>
      </c>
      <c r="F47" s="32">
        <f t="shared" si="3"/>
        <v>2251200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82">
        <v>0</v>
      </c>
      <c r="N47" s="32">
        <v>0</v>
      </c>
      <c r="O47" s="32">
        <v>469</v>
      </c>
      <c r="P47" s="32">
        <v>2119408.87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32">
        <v>0</v>
      </c>
      <c r="Y47" s="32">
        <v>0</v>
      </c>
      <c r="Z47" s="32">
        <v>0</v>
      </c>
      <c r="AA47" s="32">
        <v>0</v>
      </c>
      <c r="AB47" s="32">
        <v>0</v>
      </c>
      <c r="AC47" s="32">
        <v>0</v>
      </c>
      <c r="AD47" s="32">
        <v>0</v>
      </c>
      <c r="AE47" s="71">
        <f>ROUND(P47*1.5%,2)</f>
        <v>31791.13</v>
      </c>
      <c r="AF47" s="71">
        <v>100000</v>
      </c>
      <c r="AG47" s="72">
        <v>0</v>
      </c>
      <c r="AH47" s="36">
        <v>2020</v>
      </c>
      <c r="AI47" s="36">
        <v>2020</v>
      </c>
      <c r="AJ47" s="36">
        <v>2020</v>
      </c>
    </row>
    <row r="48" spans="1:36" s="21" customFormat="1" ht="61.5" x14ac:dyDescent="0.85">
      <c r="B48" s="74" t="s">
        <v>1123</v>
      </c>
      <c r="C48" s="25"/>
      <c r="D48" s="72" t="s">
        <v>943</v>
      </c>
      <c r="E48" s="73">
        <f>AVERAGE(E49)</f>
        <v>1</v>
      </c>
      <c r="F48" s="32">
        <f>F49</f>
        <v>3834600</v>
      </c>
      <c r="G48" s="32">
        <f t="shared" ref="G48:AG48" si="14">G49</f>
        <v>0</v>
      </c>
      <c r="H48" s="32">
        <f t="shared" si="14"/>
        <v>0</v>
      </c>
      <c r="I48" s="32">
        <f t="shared" si="14"/>
        <v>0</v>
      </c>
      <c r="J48" s="32">
        <f t="shared" si="14"/>
        <v>0</v>
      </c>
      <c r="K48" s="32">
        <f t="shared" si="14"/>
        <v>0</v>
      </c>
      <c r="L48" s="32">
        <f t="shared" si="14"/>
        <v>0</v>
      </c>
      <c r="M48" s="82">
        <f t="shared" si="14"/>
        <v>0</v>
      </c>
      <c r="N48" s="32">
        <f t="shared" si="14"/>
        <v>0</v>
      </c>
      <c r="O48" s="32">
        <f t="shared" si="14"/>
        <v>766.92</v>
      </c>
      <c r="P48" s="32">
        <f t="shared" si="14"/>
        <v>3659704.43</v>
      </c>
      <c r="Q48" s="32">
        <f t="shared" si="14"/>
        <v>0</v>
      </c>
      <c r="R48" s="32">
        <f t="shared" si="14"/>
        <v>0</v>
      </c>
      <c r="S48" s="32">
        <f t="shared" si="14"/>
        <v>0</v>
      </c>
      <c r="T48" s="32">
        <f t="shared" si="14"/>
        <v>0</v>
      </c>
      <c r="U48" s="32">
        <f t="shared" si="14"/>
        <v>0</v>
      </c>
      <c r="V48" s="32">
        <f t="shared" si="14"/>
        <v>0</v>
      </c>
      <c r="W48" s="32">
        <f t="shared" si="14"/>
        <v>0</v>
      </c>
      <c r="X48" s="32">
        <f t="shared" si="14"/>
        <v>0</v>
      </c>
      <c r="Y48" s="32">
        <f t="shared" si="14"/>
        <v>0</v>
      </c>
      <c r="Z48" s="32">
        <f t="shared" si="14"/>
        <v>0</v>
      </c>
      <c r="AA48" s="32">
        <f t="shared" si="14"/>
        <v>0</v>
      </c>
      <c r="AB48" s="32">
        <f t="shared" si="14"/>
        <v>0</v>
      </c>
      <c r="AC48" s="32">
        <f t="shared" si="14"/>
        <v>0</v>
      </c>
      <c r="AD48" s="32">
        <f t="shared" si="14"/>
        <v>0</v>
      </c>
      <c r="AE48" s="71">
        <f t="shared" si="14"/>
        <v>54895.57</v>
      </c>
      <c r="AF48" s="71">
        <f t="shared" si="14"/>
        <v>120000</v>
      </c>
      <c r="AG48" s="72">
        <f t="shared" si="14"/>
        <v>0</v>
      </c>
      <c r="AH48" s="36" t="s">
        <v>943</v>
      </c>
      <c r="AI48" s="36" t="s">
        <v>943</v>
      </c>
      <c r="AJ48" s="36" t="s">
        <v>943</v>
      </c>
    </row>
    <row r="49" spans="1:36" s="21" customFormat="1" ht="61.5" x14ac:dyDescent="0.85">
      <c r="A49" s="21">
        <v>1</v>
      </c>
      <c r="B49" s="70">
        <f>SUBTOTAL(103,$A$13:A49)</f>
        <v>26</v>
      </c>
      <c r="C49" s="25" t="s">
        <v>1111</v>
      </c>
      <c r="D49" s="72" t="s">
        <v>1112</v>
      </c>
      <c r="E49" s="73">
        <v>1</v>
      </c>
      <c r="F49" s="32">
        <f t="shared" si="3"/>
        <v>3834600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82">
        <v>0</v>
      </c>
      <c r="N49" s="32">
        <v>0</v>
      </c>
      <c r="O49" s="32">
        <v>766.92</v>
      </c>
      <c r="P49" s="32">
        <v>3659704.43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  <c r="AB49" s="32">
        <v>0</v>
      </c>
      <c r="AC49" s="32">
        <v>0</v>
      </c>
      <c r="AD49" s="32">
        <v>0</v>
      </c>
      <c r="AE49" s="71">
        <f>ROUND(P49*1.5%,2)</f>
        <v>54895.57</v>
      </c>
      <c r="AF49" s="71">
        <v>120000</v>
      </c>
      <c r="AG49" s="72">
        <v>0</v>
      </c>
      <c r="AH49" s="36">
        <v>2020</v>
      </c>
      <c r="AI49" s="36">
        <v>2020</v>
      </c>
      <c r="AJ49" s="36">
        <v>2020</v>
      </c>
    </row>
    <row r="50" spans="1:36" s="21" customFormat="1" ht="61.5" x14ac:dyDescent="0.85">
      <c r="B50" s="74" t="s">
        <v>903</v>
      </c>
      <c r="C50" s="25"/>
      <c r="D50" s="72" t="s">
        <v>943</v>
      </c>
      <c r="E50" s="73">
        <f>AVERAGE(E51)</f>
        <v>1.008</v>
      </c>
      <c r="F50" s="32">
        <f>F51</f>
        <v>1692000</v>
      </c>
      <c r="G50" s="32">
        <f t="shared" ref="G50:AG50" si="15">G51</f>
        <v>0</v>
      </c>
      <c r="H50" s="32">
        <f t="shared" si="15"/>
        <v>0</v>
      </c>
      <c r="I50" s="32">
        <f t="shared" si="15"/>
        <v>0</v>
      </c>
      <c r="J50" s="32">
        <f t="shared" si="15"/>
        <v>0</v>
      </c>
      <c r="K50" s="32">
        <f t="shared" si="15"/>
        <v>0</v>
      </c>
      <c r="L50" s="32">
        <f t="shared" si="15"/>
        <v>0</v>
      </c>
      <c r="M50" s="82">
        <f t="shared" si="15"/>
        <v>0</v>
      </c>
      <c r="N50" s="32">
        <f t="shared" si="15"/>
        <v>0</v>
      </c>
      <c r="O50" s="32">
        <f t="shared" si="15"/>
        <v>352.5</v>
      </c>
      <c r="P50" s="32">
        <f t="shared" si="15"/>
        <v>1578325.12</v>
      </c>
      <c r="Q50" s="32">
        <f t="shared" si="15"/>
        <v>0</v>
      </c>
      <c r="R50" s="32">
        <f t="shared" si="15"/>
        <v>0</v>
      </c>
      <c r="S50" s="32">
        <f t="shared" si="15"/>
        <v>0</v>
      </c>
      <c r="T50" s="32">
        <f t="shared" si="15"/>
        <v>0</v>
      </c>
      <c r="U50" s="32">
        <f t="shared" si="15"/>
        <v>0</v>
      </c>
      <c r="V50" s="32">
        <f t="shared" si="15"/>
        <v>0</v>
      </c>
      <c r="W50" s="32">
        <f t="shared" si="15"/>
        <v>0</v>
      </c>
      <c r="X50" s="32">
        <f t="shared" si="15"/>
        <v>0</v>
      </c>
      <c r="Y50" s="32">
        <f t="shared" si="15"/>
        <v>0</v>
      </c>
      <c r="Z50" s="32">
        <f t="shared" si="15"/>
        <v>0</v>
      </c>
      <c r="AA50" s="32">
        <f t="shared" si="15"/>
        <v>0</v>
      </c>
      <c r="AB50" s="32">
        <f t="shared" si="15"/>
        <v>0</v>
      </c>
      <c r="AC50" s="32">
        <f t="shared" si="15"/>
        <v>0</v>
      </c>
      <c r="AD50" s="32">
        <f t="shared" si="15"/>
        <v>0</v>
      </c>
      <c r="AE50" s="71">
        <f t="shared" si="15"/>
        <v>23674.880000000001</v>
      </c>
      <c r="AF50" s="71">
        <f t="shared" si="15"/>
        <v>90000</v>
      </c>
      <c r="AG50" s="72">
        <f t="shared" si="15"/>
        <v>0</v>
      </c>
      <c r="AH50" s="36" t="s">
        <v>943</v>
      </c>
      <c r="AI50" s="36" t="s">
        <v>943</v>
      </c>
      <c r="AJ50" s="36" t="s">
        <v>943</v>
      </c>
    </row>
    <row r="51" spans="1:36" s="21" customFormat="1" ht="61.5" x14ac:dyDescent="0.85">
      <c r="A51" s="21">
        <v>1</v>
      </c>
      <c r="B51" s="70">
        <f>SUBTOTAL(103,$A$13:A51)</f>
        <v>27</v>
      </c>
      <c r="C51" s="25" t="s">
        <v>1107</v>
      </c>
      <c r="D51" s="72" t="s">
        <v>1113</v>
      </c>
      <c r="E51" s="73">
        <v>1.008</v>
      </c>
      <c r="F51" s="32">
        <f t="shared" si="3"/>
        <v>1692000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82">
        <v>0</v>
      </c>
      <c r="N51" s="32">
        <v>0</v>
      </c>
      <c r="O51" s="32">
        <v>352.5</v>
      </c>
      <c r="P51" s="32">
        <v>1578325.12</v>
      </c>
      <c r="Q51" s="32">
        <v>0</v>
      </c>
      <c r="R51" s="32">
        <v>0</v>
      </c>
      <c r="S51" s="32">
        <v>0</v>
      </c>
      <c r="T51" s="32">
        <v>0</v>
      </c>
      <c r="U51" s="32">
        <v>0</v>
      </c>
      <c r="V51" s="32">
        <v>0</v>
      </c>
      <c r="W51" s="32">
        <v>0</v>
      </c>
      <c r="X51" s="32">
        <v>0</v>
      </c>
      <c r="Y51" s="32">
        <v>0</v>
      </c>
      <c r="Z51" s="32">
        <v>0</v>
      </c>
      <c r="AA51" s="32">
        <v>0</v>
      </c>
      <c r="AB51" s="32">
        <v>0</v>
      </c>
      <c r="AC51" s="32">
        <v>0</v>
      </c>
      <c r="AD51" s="32">
        <v>0</v>
      </c>
      <c r="AE51" s="71">
        <f>ROUND(P51*1.5%,2)</f>
        <v>23674.880000000001</v>
      </c>
      <c r="AF51" s="71">
        <v>90000</v>
      </c>
      <c r="AG51" s="72">
        <v>0</v>
      </c>
      <c r="AH51" s="36">
        <v>2020</v>
      </c>
      <c r="AI51" s="36">
        <v>2020</v>
      </c>
      <c r="AJ51" s="36">
        <v>2020</v>
      </c>
    </row>
    <row r="52" spans="1:36" s="21" customFormat="1" ht="61.5" x14ac:dyDescent="0.85">
      <c r="B52" s="74" t="s">
        <v>909</v>
      </c>
      <c r="C52" s="25"/>
      <c r="D52" s="72" t="s">
        <v>943</v>
      </c>
      <c r="E52" s="73">
        <f>AVERAGE(E53)</f>
        <v>1.0001</v>
      </c>
      <c r="F52" s="32">
        <f>F53</f>
        <v>3696000</v>
      </c>
      <c r="G52" s="32">
        <f t="shared" ref="G52:AG52" si="16">G53</f>
        <v>0</v>
      </c>
      <c r="H52" s="32">
        <f t="shared" si="16"/>
        <v>0</v>
      </c>
      <c r="I52" s="32">
        <f t="shared" si="16"/>
        <v>0</v>
      </c>
      <c r="J52" s="32">
        <f t="shared" si="16"/>
        <v>0</v>
      </c>
      <c r="K52" s="32">
        <f t="shared" si="16"/>
        <v>0</v>
      </c>
      <c r="L52" s="32">
        <f t="shared" si="16"/>
        <v>0</v>
      </c>
      <c r="M52" s="82">
        <f t="shared" si="16"/>
        <v>0</v>
      </c>
      <c r="N52" s="32">
        <f t="shared" si="16"/>
        <v>0</v>
      </c>
      <c r="O52" s="32">
        <f t="shared" si="16"/>
        <v>770</v>
      </c>
      <c r="P52" s="32">
        <f t="shared" si="16"/>
        <v>3533004.93</v>
      </c>
      <c r="Q52" s="32">
        <f t="shared" si="16"/>
        <v>0</v>
      </c>
      <c r="R52" s="32">
        <f t="shared" si="16"/>
        <v>0</v>
      </c>
      <c r="S52" s="32">
        <f t="shared" si="16"/>
        <v>0</v>
      </c>
      <c r="T52" s="32">
        <f t="shared" si="16"/>
        <v>0</v>
      </c>
      <c r="U52" s="32">
        <f t="shared" si="16"/>
        <v>0</v>
      </c>
      <c r="V52" s="32">
        <f t="shared" si="16"/>
        <v>0</v>
      </c>
      <c r="W52" s="32">
        <f t="shared" si="16"/>
        <v>0</v>
      </c>
      <c r="X52" s="32">
        <f t="shared" si="16"/>
        <v>0</v>
      </c>
      <c r="Y52" s="32">
        <f t="shared" si="16"/>
        <v>0</v>
      </c>
      <c r="Z52" s="32">
        <f t="shared" si="16"/>
        <v>0</v>
      </c>
      <c r="AA52" s="32">
        <f t="shared" si="16"/>
        <v>0</v>
      </c>
      <c r="AB52" s="32">
        <f t="shared" si="16"/>
        <v>0</v>
      </c>
      <c r="AC52" s="32">
        <f t="shared" si="16"/>
        <v>0</v>
      </c>
      <c r="AD52" s="32">
        <f t="shared" si="16"/>
        <v>0</v>
      </c>
      <c r="AE52" s="71">
        <f t="shared" si="16"/>
        <v>52995.07</v>
      </c>
      <c r="AF52" s="71">
        <f t="shared" si="16"/>
        <v>110000</v>
      </c>
      <c r="AG52" s="72">
        <f t="shared" si="16"/>
        <v>0</v>
      </c>
      <c r="AH52" s="36" t="s">
        <v>943</v>
      </c>
      <c r="AI52" s="36" t="s">
        <v>943</v>
      </c>
      <c r="AJ52" s="36" t="s">
        <v>943</v>
      </c>
    </row>
    <row r="53" spans="1:36" s="21" customFormat="1" ht="61.5" x14ac:dyDescent="0.85">
      <c r="A53" s="21">
        <v>1</v>
      </c>
      <c r="B53" s="70">
        <f>SUBTOTAL(103,$A$13:A53)</f>
        <v>28</v>
      </c>
      <c r="C53" s="25" t="s">
        <v>1110</v>
      </c>
      <c r="D53" s="72" t="s">
        <v>1115</v>
      </c>
      <c r="E53" s="73">
        <v>1.0001</v>
      </c>
      <c r="F53" s="32">
        <f t="shared" si="3"/>
        <v>3696000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82">
        <v>0</v>
      </c>
      <c r="N53" s="32">
        <v>0</v>
      </c>
      <c r="O53" s="32">
        <v>770</v>
      </c>
      <c r="P53" s="32">
        <v>3533004.93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32">
        <v>0</v>
      </c>
      <c r="Y53" s="32">
        <v>0</v>
      </c>
      <c r="Z53" s="32">
        <v>0</v>
      </c>
      <c r="AA53" s="32">
        <v>0</v>
      </c>
      <c r="AB53" s="32">
        <v>0</v>
      </c>
      <c r="AC53" s="32">
        <v>0</v>
      </c>
      <c r="AD53" s="32">
        <v>0</v>
      </c>
      <c r="AE53" s="71">
        <f>ROUND(P53*1.5%,2)</f>
        <v>52995.07</v>
      </c>
      <c r="AF53" s="71">
        <v>110000</v>
      </c>
      <c r="AG53" s="72">
        <v>0</v>
      </c>
      <c r="AH53" s="36">
        <v>2020</v>
      </c>
      <c r="AI53" s="36">
        <v>2020</v>
      </c>
      <c r="AJ53" s="36">
        <v>2020</v>
      </c>
    </row>
    <row r="54" spans="1:36" s="21" customFormat="1" ht="61.5" x14ac:dyDescent="0.85">
      <c r="B54" s="74" t="s">
        <v>911</v>
      </c>
      <c r="C54" s="25"/>
      <c r="D54" s="72" t="s">
        <v>943</v>
      </c>
      <c r="E54" s="73">
        <f>AVERAGE(E55:E56)</f>
        <v>1.0058</v>
      </c>
      <c r="F54" s="32">
        <f>F56+F55+F57</f>
        <v>5561408.3912315276</v>
      </c>
      <c r="G54" s="32">
        <f t="shared" ref="G54:AG54" si="17">G56+G55+G57</f>
        <v>0</v>
      </c>
      <c r="H54" s="32">
        <f t="shared" si="17"/>
        <v>0</v>
      </c>
      <c r="I54" s="32">
        <f t="shared" si="17"/>
        <v>0</v>
      </c>
      <c r="J54" s="32">
        <f t="shared" si="17"/>
        <v>0</v>
      </c>
      <c r="K54" s="32">
        <f t="shared" si="17"/>
        <v>0</v>
      </c>
      <c r="L54" s="32">
        <f t="shared" si="17"/>
        <v>0</v>
      </c>
      <c r="M54" s="82">
        <f t="shared" si="17"/>
        <v>0</v>
      </c>
      <c r="N54" s="32">
        <f t="shared" si="17"/>
        <v>0</v>
      </c>
      <c r="O54" s="32">
        <f t="shared" si="17"/>
        <v>928.4</v>
      </c>
      <c r="P54" s="32">
        <f t="shared" si="17"/>
        <v>4032325.12</v>
      </c>
      <c r="Q54" s="32">
        <f t="shared" si="17"/>
        <v>0</v>
      </c>
      <c r="R54" s="32">
        <f t="shared" si="17"/>
        <v>0</v>
      </c>
      <c r="S54" s="32">
        <f t="shared" si="17"/>
        <v>267.3</v>
      </c>
      <c r="T54" s="32">
        <f t="shared" si="17"/>
        <v>1141476.2512315272</v>
      </c>
      <c r="U54" s="32">
        <f t="shared" si="17"/>
        <v>0</v>
      </c>
      <c r="V54" s="32">
        <f t="shared" si="17"/>
        <v>0</v>
      </c>
      <c r="W54" s="32">
        <f t="shared" si="17"/>
        <v>0</v>
      </c>
      <c r="X54" s="32">
        <f t="shared" si="17"/>
        <v>0</v>
      </c>
      <c r="Y54" s="32">
        <f t="shared" si="17"/>
        <v>0</v>
      </c>
      <c r="Z54" s="32">
        <f t="shared" si="17"/>
        <v>0</v>
      </c>
      <c r="AA54" s="32">
        <f t="shared" si="17"/>
        <v>0</v>
      </c>
      <c r="AB54" s="32">
        <f t="shared" si="17"/>
        <v>0</v>
      </c>
      <c r="AC54" s="32">
        <f t="shared" si="17"/>
        <v>0</v>
      </c>
      <c r="AD54" s="32">
        <f t="shared" si="17"/>
        <v>0</v>
      </c>
      <c r="AE54" s="32">
        <f t="shared" si="17"/>
        <v>77607.01999999999</v>
      </c>
      <c r="AF54" s="32">
        <f t="shared" si="17"/>
        <v>310000</v>
      </c>
      <c r="AG54" s="72">
        <f t="shared" si="17"/>
        <v>0</v>
      </c>
      <c r="AH54" s="36" t="s">
        <v>943</v>
      </c>
      <c r="AI54" s="36" t="s">
        <v>943</v>
      </c>
      <c r="AJ54" s="36" t="s">
        <v>943</v>
      </c>
    </row>
    <row r="55" spans="1:36" s="21" customFormat="1" ht="61.5" x14ac:dyDescent="0.85">
      <c r="A55" s="21">
        <v>1</v>
      </c>
      <c r="B55" s="70">
        <f>SUBTOTAL(103,$A$13:A55)</f>
        <v>29</v>
      </c>
      <c r="C55" s="25" t="s">
        <v>1158</v>
      </c>
      <c r="D55" s="72" t="s">
        <v>1112</v>
      </c>
      <c r="E55" s="73">
        <v>1</v>
      </c>
      <c r="F55" s="32">
        <f t="shared" ref="F55" si="18">G55+H55+I55+J55+K55+L55+N55+P55+R55+T55+V55+W55+X55+Y55+Z55+AA55+AB55+AC55+AD55+AE55+AF55+AG55</f>
        <v>2652760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82">
        <v>0</v>
      </c>
      <c r="N55" s="32">
        <v>0</v>
      </c>
      <c r="O55" s="32">
        <v>602.9</v>
      </c>
      <c r="P55" s="32">
        <v>2515034.48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71">
        <f>ROUND(P55*1.5%,2)</f>
        <v>37725.519999999997</v>
      </c>
      <c r="AF55" s="71">
        <v>100000</v>
      </c>
      <c r="AG55" s="72">
        <v>0</v>
      </c>
      <c r="AH55" s="36">
        <v>2020</v>
      </c>
      <c r="AI55" s="36">
        <v>2020</v>
      </c>
      <c r="AJ55" s="36">
        <v>2020</v>
      </c>
    </row>
    <row r="56" spans="1:36" s="21" customFormat="1" ht="61.5" x14ac:dyDescent="0.85">
      <c r="A56" s="21">
        <v>1</v>
      </c>
      <c r="B56" s="70">
        <f>SUBTOTAL(103,$A$13:A56)</f>
        <v>30</v>
      </c>
      <c r="C56" s="25" t="s">
        <v>1108</v>
      </c>
      <c r="D56" s="72" t="s">
        <v>1118</v>
      </c>
      <c r="E56" s="73">
        <v>1.0116000000000001</v>
      </c>
      <c r="F56" s="32">
        <f t="shared" si="3"/>
        <v>1248598.3912315271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82">
        <v>0</v>
      </c>
      <c r="N56" s="32">
        <v>0</v>
      </c>
      <c r="O56" s="32">
        <v>0</v>
      </c>
      <c r="P56" s="32">
        <f>O56*4800</f>
        <v>0</v>
      </c>
      <c r="Q56" s="32">
        <v>0</v>
      </c>
      <c r="R56" s="32">
        <v>0</v>
      </c>
      <c r="S56" s="32">
        <v>267.3</v>
      </c>
      <c r="T56" s="32">
        <v>1141476.2512315272</v>
      </c>
      <c r="U56" s="32">
        <v>0</v>
      </c>
      <c r="V56" s="32">
        <v>0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  <c r="AB56" s="32">
        <v>0</v>
      </c>
      <c r="AC56" s="32">
        <v>0</v>
      </c>
      <c r="AD56" s="32">
        <v>0</v>
      </c>
      <c r="AE56" s="71">
        <f>ROUND(T56*1.5%,2)</f>
        <v>17122.14</v>
      </c>
      <c r="AF56" s="71">
        <v>90000</v>
      </c>
      <c r="AG56" s="72">
        <v>0</v>
      </c>
      <c r="AH56" s="36">
        <v>2020</v>
      </c>
      <c r="AI56" s="36">
        <v>2020</v>
      </c>
      <c r="AJ56" s="36">
        <v>2020</v>
      </c>
    </row>
    <row r="57" spans="1:36" s="21" customFormat="1" ht="61.5" x14ac:dyDescent="0.85">
      <c r="A57" s="21">
        <v>1</v>
      </c>
      <c r="B57" s="70">
        <f>SUBTOTAL(103,$A$13:A57)</f>
        <v>31</v>
      </c>
      <c r="C57" s="25" t="s">
        <v>197</v>
      </c>
      <c r="D57" s="72" t="s">
        <v>1114</v>
      </c>
      <c r="E57" s="73">
        <v>1</v>
      </c>
      <c r="F57" s="32">
        <f t="shared" si="3"/>
        <v>1660050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82">
        <v>0</v>
      </c>
      <c r="N57" s="32">
        <v>0</v>
      </c>
      <c r="O57" s="32">
        <v>325.5</v>
      </c>
      <c r="P57" s="32">
        <v>1517290.64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71">
        <f>ROUND(P57*1.5%,2)</f>
        <v>22759.360000000001</v>
      </c>
      <c r="AF57" s="71">
        <v>120000</v>
      </c>
      <c r="AG57" s="72">
        <v>0</v>
      </c>
      <c r="AH57" s="36"/>
      <c r="AI57" s="36">
        <v>2020</v>
      </c>
      <c r="AJ57" s="36">
        <v>2020</v>
      </c>
    </row>
    <row r="58" spans="1:36" s="21" customFormat="1" ht="61.5" x14ac:dyDescent="0.85">
      <c r="B58" s="74" t="s">
        <v>910</v>
      </c>
      <c r="C58" s="25"/>
      <c r="D58" s="72" t="s">
        <v>943</v>
      </c>
      <c r="E58" s="73">
        <f>AVERAGE(E59)</f>
        <v>1</v>
      </c>
      <c r="F58" s="32">
        <f>F59</f>
        <v>2736000</v>
      </c>
      <c r="G58" s="32">
        <f t="shared" ref="G58:AG58" si="19">G59</f>
        <v>0</v>
      </c>
      <c r="H58" s="32">
        <f t="shared" si="19"/>
        <v>0</v>
      </c>
      <c r="I58" s="32">
        <f t="shared" si="19"/>
        <v>0</v>
      </c>
      <c r="J58" s="32">
        <f t="shared" si="19"/>
        <v>0</v>
      </c>
      <c r="K58" s="32">
        <f t="shared" si="19"/>
        <v>0</v>
      </c>
      <c r="L58" s="32">
        <f t="shared" si="19"/>
        <v>0</v>
      </c>
      <c r="M58" s="82">
        <f t="shared" si="19"/>
        <v>0</v>
      </c>
      <c r="N58" s="32">
        <f t="shared" si="19"/>
        <v>0</v>
      </c>
      <c r="O58" s="32">
        <f t="shared" si="19"/>
        <v>570</v>
      </c>
      <c r="P58" s="32">
        <f t="shared" si="19"/>
        <v>2606896.5499999998</v>
      </c>
      <c r="Q58" s="32">
        <f t="shared" si="19"/>
        <v>0</v>
      </c>
      <c r="R58" s="32">
        <f t="shared" si="19"/>
        <v>0</v>
      </c>
      <c r="S58" s="32">
        <f t="shared" si="19"/>
        <v>0</v>
      </c>
      <c r="T58" s="32">
        <f t="shared" si="19"/>
        <v>0</v>
      </c>
      <c r="U58" s="32">
        <f t="shared" si="19"/>
        <v>0</v>
      </c>
      <c r="V58" s="32">
        <f t="shared" si="19"/>
        <v>0</v>
      </c>
      <c r="W58" s="32">
        <f t="shared" si="19"/>
        <v>0</v>
      </c>
      <c r="X58" s="32">
        <f t="shared" si="19"/>
        <v>0</v>
      </c>
      <c r="Y58" s="32">
        <f t="shared" si="19"/>
        <v>0</v>
      </c>
      <c r="Z58" s="32">
        <f t="shared" si="19"/>
        <v>0</v>
      </c>
      <c r="AA58" s="32">
        <f t="shared" si="19"/>
        <v>0</v>
      </c>
      <c r="AB58" s="32">
        <f t="shared" si="19"/>
        <v>0</v>
      </c>
      <c r="AC58" s="32">
        <f t="shared" si="19"/>
        <v>0</v>
      </c>
      <c r="AD58" s="32">
        <f t="shared" si="19"/>
        <v>0</v>
      </c>
      <c r="AE58" s="71">
        <f t="shared" si="19"/>
        <v>39103.449999999997</v>
      </c>
      <c r="AF58" s="71">
        <f t="shared" si="19"/>
        <v>90000</v>
      </c>
      <c r="AG58" s="72">
        <f t="shared" si="19"/>
        <v>0</v>
      </c>
      <c r="AH58" s="36" t="s">
        <v>943</v>
      </c>
      <c r="AI58" s="36" t="s">
        <v>943</v>
      </c>
      <c r="AJ58" s="36" t="s">
        <v>943</v>
      </c>
    </row>
    <row r="59" spans="1:36" s="21" customFormat="1" ht="61.5" x14ac:dyDescent="0.85">
      <c r="A59" s="21">
        <v>1</v>
      </c>
      <c r="B59" s="70">
        <f>SUBTOTAL(103,$A$13:A59)</f>
        <v>32</v>
      </c>
      <c r="C59" s="25" t="s">
        <v>1146</v>
      </c>
      <c r="D59" s="72" t="s">
        <v>1117</v>
      </c>
      <c r="E59" s="73">
        <v>1</v>
      </c>
      <c r="F59" s="32">
        <f t="shared" si="3"/>
        <v>2736000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82">
        <v>0</v>
      </c>
      <c r="N59" s="32">
        <v>0</v>
      </c>
      <c r="O59" s="32">
        <v>570</v>
      </c>
      <c r="P59" s="32">
        <v>2606896.5499999998</v>
      </c>
      <c r="Q59" s="32">
        <v>0</v>
      </c>
      <c r="R59" s="32">
        <v>0</v>
      </c>
      <c r="S59" s="32">
        <v>0</v>
      </c>
      <c r="T59" s="32">
        <v>0</v>
      </c>
      <c r="U59" s="32">
        <v>0</v>
      </c>
      <c r="V59" s="32">
        <v>0</v>
      </c>
      <c r="W59" s="32">
        <v>0</v>
      </c>
      <c r="X59" s="32">
        <v>0</v>
      </c>
      <c r="Y59" s="32">
        <v>0</v>
      </c>
      <c r="Z59" s="32">
        <v>0</v>
      </c>
      <c r="AA59" s="32">
        <v>0</v>
      </c>
      <c r="AB59" s="32">
        <v>0</v>
      </c>
      <c r="AC59" s="32">
        <v>0</v>
      </c>
      <c r="AD59" s="32">
        <v>0</v>
      </c>
      <c r="AE59" s="71">
        <f>ROUND(P59*1.5%,2)</f>
        <v>39103.449999999997</v>
      </c>
      <c r="AF59" s="71">
        <v>90000</v>
      </c>
      <c r="AG59" s="72">
        <v>0</v>
      </c>
      <c r="AH59" s="36">
        <v>2020</v>
      </c>
      <c r="AI59" s="36">
        <v>2020</v>
      </c>
      <c r="AJ59" s="36">
        <v>2020</v>
      </c>
    </row>
    <row r="60" spans="1:36" s="21" customFormat="1" ht="61.5" x14ac:dyDescent="0.85">
      <c r="B60" s="74" t="s">
        <v>886</v>
      </c>
      <c r="C60" s="25"/>
      <c r="D60" s="72" t="s">
        <v>943</v>
      </c>
      <c r="E60" s="73">
        <f>E61</f>
        <v>1.009761876417796</v>
      </c>
      <c r="F60" s="32">
        <f>F61</f>
        <v>2144509.73</v>
      </c>
      <c r="G60" s="32">
        <f t="shared" ref="G60:AG60" si="20">G61</f>
        <v>226421.29</v>
      </c>
      <c r="H60" s="32">
        <f t="shared" si="20"/>
        <v>574926.32999999996</v>
      </c>
      <c r="I60" s="32">
        <f t="shared" si="20"/>
        <v>1042147.18</v>
      </c>
      <c r="J60" s="32">
        <f t="shared" si="20"/>
        <v>269322.67</v>
      </c>
      <c r="K60" s="32">
        <f t="shared" si="20"/>
        <v>0</v>
      </c>
      <c r="L60" s="32">
        <f t="shared" si="20"/>
        <v>0</v>
      </c>
      <c r="M60" s="82">
        <f t="shared" si="20"/>
        <v>0</v>
      </c>
      <c r="N60" s="32">
        <f t="shared" si="20"/>
        <v>0</v>
      </c>
      <c r="O60" s="32">
        <f t="shared" si="20"/>
        <v>0</v>
      </c>
      <c r="P60" s="32">
        <f t="shared" si="20"/>
        <v>0</v>
      </c>
      <c r="Q60" s="32">
        <f t="shared" si="20"/>
        <v>0</v>
      </c>
      <c r="R60" s="32">
        <f t="shared" si="20"/>
        <v>0</v>
      </c>
      <c r="S60" s="32">
        <f t="shared" si="20"/>
        <v>0</v>
      </c>
      <c r="T60" s="32">
        <f t="shared" si="20"/>
        <v>0</v>
      </c>
      <c r="U60" s="32">
        <f t="shared" si="20"/>
        <v>0</v>
      </c>
      <c r="V60" s="32">
        <f t="shared" si="20"/>
        <v>0</v>
      </c>
      <c r="W60" s="32">
        <f t="shared" si="20"/>
        <v>0</v>
      </c>
      <c r="X60" s="32">
        <f t="shared" si="20"/>
        <v>0</v>
      </c>
      <c r="Y60" s="32">
        <f t="shared" si="20"/>
        <v>0</v>
      </c>
      <c r="Z60" s="32">
        <f t="shared" si="20"/>
        <v>0</v>
      </c>
      <c r="AA60" s="32">
        <f t="shared" si="20"/>
        <v>0</v>
      </c>
      <c r="AB60" s="32">
        <f t="shared" si="20"/>
        <v>0</v>
      </c>
      <c r="AC60" s="32">
        <f t="shared" si="20"/>
        <v>0</v>
      </c>
      <c r="AD60" s="32">
        <f t="shared" si="20"/>
        <v>0</v>
      </c>
      <c r="AE60" s="32">
        <f t="shared" si="20"/>
        <v>31692.26</v>
      </c>
      <c r="AF60" s="32">
        <f t="shared" si="20"/>
        <v>0</v>
      </c>
      <c r="AG60" s="72">
        <f t="shared" si="20"/>
        <v>0</v>
      </c>
      <c r="AH60" s="36" t="s">
        <v>943</v>
      </c>
      <c r="AI60" s="36" t="s">
        <v>943</v>
      </c>
      <c r="AJ60" s="36" t="s">
        <v>943</v>
      </c>
    </row>
    <row r="61" spans="1:36" s="21" customFormat="1" ht="61.5" x14ac:dyDescent="0.85">
      <c r="A61" s="21">
        <v>1</v>
      </c>
      <c r="B61" s="70">
        <f>SUBTOTAL(103,$A$13:A61)</f>
        <v>33</v>
      </c>
      <c r="C61" s="25" t="s">
        <v>1512</v>
      </c>
      <c r="D61" s="72" t="s">
        <v>1117</v>
      </c>
      <c r="E61" s="73">
        <v>1.009761876417796</v>
      </c>
      <c r="F61" s="32">
        <f t="shared" si="3"/>
        <v>2144509.73</v>
      </c>
      <c r="G61" s="32">
        <v>226421.29</v>
      </c>
      <c r="H61" s="32">
        <v>574926.32999999996</v>
      </c>
      <c r="I61" s="32">
        <v>1042147.18</v>
      </c>
      <c r="J61" s="32">
        <v>269322.67</v>
      </c>
      <c r="K61" s="32">
        <v>0</v>
      </c>
      <c r="L61" s="32">
        <v>0</v>
      </c>
      <c r="M61" s="8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f>ROUND((G61+H61+I61+J61+K61)*1.5%,2)</f>
        <v>31692.26</v>
      </c>
      <c r="AF61" s="71">
        <v>0</v>
      </c>
      <c r="AG61" s="72">
        <v>0</v>
      </c>
      <c r="AH61" s="36" t="s">
        <v>275</v>
      </c>
      <c r="AI61" s="36">
        <v>2020</v>
      </c>
      <c r="AJ61" s="36">
        <v>2020</v>
      </c>
    </row>
    <row r="62" spans="1:36" s="21" customFormat="1" ht="61.5" x14ac:dyDescent="0.85">
      <c r="B62" s="74" t="s">
        <v>922</v>
      </c>
      <c r="C62" s="25"/>
      <c r="D62" s="72" t="s">
        <v>943</v>
      </c>
      <c r="E62" s="73">
        <f>E63</f>
        <v>1.0869557735329547</v>
      </c>
      <c r="F62" s="32">
        <f>F63</f>
        <v>1590688.46</v>
      </c>
      <c r="G62" s="32">
        <f t="shared" ref="G62:AG62" si="21">G63</f>
        <v>301430.32</v>
      </c>
      <c r="H62" s="32">
        <f t="shared" si="21"/>
        <v>0</v>
      </c>
      <c r="I62" s="32">
        <f t="shared" si="21"/>
        <v>0</v>
      </c>
      <c r="J62" s="32">
        <f t="shared" si="21"/>
        <v>440205.38</v>
      </c>
      <c r="K62" s="32">
        <f t="shared" si="21"/>
        <v>825545.05</v>
      </c>
      <c r="L62" s="32">
        <f t="shared" si="21"/>
        <v>0</v>
      </c>
      <c r="M62" s="82">
        <f t="shared" si="21"/>
        <v>0</v>
      </c>
      <c r="N62" s="32">
        <f t="shared" si="21"/>
        <v>0</v>
      </c>
      <c r="O62" s="32">
        <f t="shared" si="21"/>
        <v>0</v>
      </c>
      <c r="P62" s="32">
        <f t="shared" si="21"/>
        <v>0</v>
      </c>
      <c r="Q62" s="32">
        <f t="shared" si="21"/>
        <v>0</v>
      </c>
      <c r="R62" s="32">
        <f t="shared" si="21"/>
        <v>0</v>
      </c>
      <c r="S62" s="32">
        <f t="shared" si="21"/>
        <v>0</v>
      </c>
      <c r="T62" s="32">
        <f t="shared" si="21"/>
        <v>0</v>
      </c>
      <c r="U62" s="32">
        <f t="shared" si="21"/>
        <v>0</v>
      </c>
      <c r="V62" s="32">
        <f t="shared" si="21"/>
        <v>0</v>
      </c>
      <c r="W62" s="32">
        <f t="shared" si="21"/>
        <v>0</v>
      </c>
      <c r="X62" s="32">
        <f t="shared" si="21"/>
        <v>0</v>
      </c>
      <c r="Y62" s="32">
        <f t="shared" si="21"/>
        <v>0</v>
      </c>
      <c r="Z62" s="32">
        <f t="shared" si="21"/>
        <v>0</v>
      </c>
      <c r="AA62" s="32">
        <f t="shared" si="21"/>
        <v>0</v>
      </c>
      <c r="AB62" s="32">
        <f t="shared" si="21"/>
        <v>0</v>
      </c>
      <c r="AC62" s="32">
        <f t="shared" si="21"/>
        <v>0</v>
      </c>
      <c r="AD62" s="32">
        <f t="shared" si="21"/>
        <v>0</v>
      </c>
      <c r="AE62" s="32">
        <f t="shared" si="21"/>
        <v>23507.71</v>
      </c>
      <c r="AF62" s="32">
        <f t="shared" si="21"/>
        <v>0</v>
      </c>
      <c r="AG62" s="72">
        <f t="shared" si="21"/>
        <v>0</v>
      </c>
      <c r="AH62" s="36" t="s">
        <v>943</v>
      </c>
      <c r="AI62" s="36" t="s">
        <v>943</v>
      </c>
      <c r="AJ62" s="36" t="s">
        <v>943</v>
      </c>
    </row>
    <row r="63" spans="1:36" s="21" customFormat="1" ht="61.5" x14ac:dyDescent="0.85">
      <c r="A63" s="21">
        <v>1</v>
      </c>
      <c r="B63" s="70">
        <f>SUBTOTAL(103,$A$13:A63)</f>
        <v>34</v>
      </c>
      <c r="C63" s="25" t="s">
        <v>1513</v>
      </c>
      <c r="D63" s="72" t="s">
        <v>1117</v>
      </c>
      <c r="E63" s="73">
        <v>1.0869557735329547</v>
      </c>
      <c r="F63" s="32">
        <f t="shared" si="3"/>
        <v>1590688.46</v>
      </c>
      <c r="G63" s="32">
        <v>301430.32</v>
      </c>
      <c r="H63" s="32">
        <v>0</v>
      </c>
      <c r="I63" s="32">
        <v>0</v>
      </c>
      <c r="J63" s="32">
        <v>440205.38</v>
      </c>
      <c r="K63" s="32">
        <v>825545.05</v>
      </c>
      <c r="L63" s="32">
        <v>0</v>
      </c>
      <c r="M63" s="8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32">
        <v>0</v>
      </c>
      <c r="Y63" s="32">
        <v>0</v>
      </c>
      <c r="Z63" s="32">
        <v>0</v>
      </c>
      <c r="AA63" s="32">
        <v>0</v>
      </c>
      <c r="AB63" s="32">
        <v>0</v>
      </c>
      <c r="AC63" s="32">
        <v>0</v>
      </c>
      <c r="AD63" s="32">
        <v>0</v>
      </c>
      <c r="AE63" s="32">
        <f>ROUND((G63+H63+I63+J63+K63)*1.5%,2)</f>
        <v>23507.71</v>
      </c>
      <c r="AF63" s="32">
        <v>0</v>
      </c>
      <c r="AG63" s="72">
        <v>0</v>
      </c>
      <c r="AH63" s="36" t="s">
        <v>275</v>
      </c>
      <c r="AI63" s="36">
        <v>2020</v>
      </c>
      <c r="AJ63" s="36">
        <v>2020</v>
      </c>
    </row>
    <row r="64" spans="1:36" ht="61.5" x14ac:dyDescent="0.9">
      <c r="H64" s="67"/>
    </row>
    <row r="68" spans="8:8" ht="61.5" x14ac:dyDescent="0.9">
      <c r="H68" s="69"/>
    </row>
  </sheetData>
  <mergeCells count="32">
    <mergeCell ref="O6:P7"/>
    <mergeCell ref="Q6:R7"/>
    <mergeCell ref="S6:T7"/>
    <mergeCell ref="U6:V7"/>
    <mergeCell ref="B10:AJ10"/>
    <mergeCell ref="W6:W7"/>
    <mergeCell ref="X6:X7"/>
    <mergeCell ref="Y6:Y7"/>
    <mergeCell ref="Z6:Z7"/>
    <mergeCell ref="AA6:AA7"/>
    <mergeCell ref="AB6:AB7"/>
    <mergeCell ref="AC6:AC7"/>
    <mergeCell ref="AD6:AD7"/>
    <mergeCell ref="AE6:AE7"/>
    <mergeCell ref="AF6:AF7"/>
    <mergeCell ref="AG6:AG7"/>
    <mergeCell ref="B1:AJ1"/>
    <mergeCell ref="B2:AJ2"/>
    <mergeCell ref="C3:AJ3"/>
    <mergeCell ref="C4:AJ4"/>
    <mergeCell ref="B5:B8"/>
    <mergeCell ref="C5:C8"/>
    <mergeCell ref="D5:D8"/>
    <mergeCell ref="E5:E7"/>
    <mergeCell ref="F5:F7"/>
    <mergeCell ref="G5:V5"/>
    <mergeCell ref="W5:AG5"/>
    <mergeCell ref="AH5:AH8"/>
    <mergeCell ref="AI5:AI8"/>
    <mergeCell ref="AJ5:AJ8"/>
    <mergeCell ref="G6:L6"/>
    <mergeCell ref="M6:N7"/>
  </mergeCells>
  <pageMargins left="0.39370078740157483" right="0.39370078740157483" top="0.39370078740157483" bottom="0.39370078740157483" header="0" footer="0"/>
  <pageSetup paperSize="8" scale="1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3"/>
  <sheetViews>
    <sheetView topLeftCell="B1" zoomScale="30" zoomScaleNormal="30" workbookViewId="0">
      <selection activeCell="Q62" sqref="B1:Q62"/>
    </sheetView>
  </sheetViews>
  <sheetFormatPr defaultRowHeight="15" x14ac:dyDescent="0.25"/>
  <cols>
    <col min="1" max="1" width="9.140625" style="7" hidden="1" customWidth="1"/>
    <col min="2" max="2" width="14" style="7" customWidth="1"/>
    <col min="3" max="3" width="219.85546875" style="7" customWidth="1"/>
    <col min="4" max="4" width="21.42578125" style="7" customWidth="1"/>
    <col min="5" max="5" width="14.85546875" style="7" customWidth="1"/>
    <col min="6" max="6" width="74.28515625" style="7" customWidth="1"/>
    <col min="7" max="7" width="12.85546875" style="7" customWidth="1"/>
    <col min="8" max="8" width="13.85546875" style="7" customWidth="1"/>
    <col min="9" max="9" width="31.140625" style="7" customWidth="1"/>
    <col min="10" max="10" width="32.28515625" style="7" customWidth="1"/>
    <col min="11" max="11" width="32.5703125" style="7" customWidth="1"/>
    <col min="12" max="12" width="32.85546875" style="7" customWidth="1"/>
    <col min="13" max="13" width="42.28515625" style="7" customWidth="1"/>
    <col min="14" max="14" width="95.28515625" style="7" customWidth="1"/>
    <col min="15" max="15" width="45.5703125" style="7" customWidth="1"/>
    <col min="16" max="16" width="29.85546875" style="7" customWidth="1"/>
    <col min="17" max="17" width="25.5703125" style="7" customWidth="1"/>
    <col min="18" max="16384" width="9.140625" style="7"/>
  </cols>
  <sheetData>
    <row r="1" spans="1:17" ht="35.25" x14ac:dyDescent="0.5">
      <c r="B1" s="58"/>
      <c r="C1" s="58"/>
      <c r="D1" s="58"/>
      <c r="E1" s="58"/>
      <c r="F1" s="58"/>
      <c r="G1" s="59"/>
      <c r="H1" s="58"/>
      <c r="I1" s="58"/>
      <c r="J1" s="58"/>
      <c r="K1" s="58"/>
      <c r="L1" s="58"/>
      <c r="M1" s="60"/>
      <c r="N1" s="60"/>
      <c r="O1" s="222" t="s">
        <v>1125</v>
      </c>
      <c r="P1" s="222"/>
      <c r="Q1" s="222"/>
    </row>
    <row r="2" spans="1:17" ht="71.25" customHeight="1" x14ac:dyDescent="0.5">
      <c r="B2" s="58"/>
      <c r="C2" s="58"/>
      <c r="D2" s="58"/>
      <c r="E2" s="58"/>
      <c r="F2" s="58"/>
      <c r="G2" s="59"/>
      <c r="H2" s="58"/>
      <c r="I2" s="58"/>
      <c r="J2" s="58"/>
      <c r="K2" s="58"/>
      <c r="L2" s="58"/>
      <c r="M2" s="61"/>
      <c r="N2" s="223" t="s">
        <v>1126</v>
      </c>
      <c r="O2" s="223"/>
      <c r="P2" s="223"/>
      <c r="Q2" s="223"/>
    </row>
    <row r="3" spans="1:17" ht="201.75" customHeight="1" x14ac:dyDescent="0.25">
      <c r="B3" s="224" t="s">
        <v>1131</v>
      </c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17" ht="35.25" x14ac:dyDescent="0.25">
      <c r="B4" s="225" t="s">
        <v>6</v>
      </c>
      <c r="C4" s="225" t="s">
        <v>1127</v>
      </c>
      <c r="D4" s="225" t="s">
        <v>255</v>
      </c>
      <c r="E4" s="226"/>
      <c r="F4" s="228" t="s">
        <v>256</v>
      </c>
      <c r="G4" s="229" t="s">
        <v>257</v>
      </c>
      <c r="H4" s="229" t="s">
        <v>258</v>
      </c>
      <c r="I4" s="228" t="s">
        <v>259</v>
      </c>
      <c r="J4" s="225" t="s">
        <v>260</v>
      </c>
      <c r="K4" s="226"/>
      <c r="L4" s="235" t="s">
        <v>1128</v>
      </c>
      <c r="M4" s="235" t="s">
        <v>1129</v>
      </c>
      <c r="N4" s="235" t="s">
        <v>261</v>
      </c>
      <c r="O4" s="240" t="s">
        <v>8</v>
      </c>
      <c r="P4" s="243" t="s">
        <v>263</v>
      </c>
      <c r="Q4" s="243" t="s">
        <v>264</v>
      </c>
    </row>
    <row r="5" spans="1:17" x14ac:dyDescent="0.25">
      <c r="B5" s="226"/>
      <c r="C5" s="226"/>
      <c r="D5" s="228" t="s">
        <v>265</v>
      </c>
      <c r="E5" s="229" t="s">
        <v>266</v>
      </c>
      <c r="F5" s="226"/>
      <c r="G5" s="230"/>
      <c r="H5" s="230"/>
      <c r="I5" s="226"/>
      <c r="J5" s="228" t="s">
        <v>267</v>
      </c>
      <c r="K5" s="229" t="s">
        <v>1130</v>
      </c>
      <c r="L5" s="236"/>
      <c r="M5" s="238"/>
      <c r="N5" s="238"/>
      <c r="O5" s="241"/>
      <c r="P5" s="244"/>
      <c r="Q5" s="244"/>
    </row>
    <row r="6" spans="1:17" ht="301.5" customHeight="1" x14ac:dyDescent="0.25">
      <c r="B6" s="226"/>
      <c r="C6" s="226"/>
      <c r="D6" s="226"/>
      <c r="E6" s="241"/>
      <c r="F6" s="226"/>
      <c r="G6" s="230"/>
      <c r="H6" s="230"/>
      <c r="I6" s="226"/>
      <c r="J6" s="226"/>
      <c r="K6" s="246"/>
      <c r="L6" s="237"/>
      <c r="M6" s="238"/>
      <c r="N6" s="238"/>
      <c r="O6" s="242"/>
      <c r="P6" s="244"/>
      <c r="Q6" s="244"/>
    </row>
    <row r="7" spans="1:17" ht="35.25" x14ac:dyDescent="0.25">
      <c r="B7" s="227"/>
      <c r="C7" s="227"/>
      <c r="D7" s="227"/>
      <c r="E7" s="245"/>
      <c r="F7" s="226"/>
      <c r="G7" s="231"/>
      <c r="H7" s="231"/>
      <c r="I7" s="62" t="s">
        <v>38</v>
      </c>
      <c r="J7" s="62" t="s">
        <v>38</v>
      </c>
      <c r="K7" s="62" t="s">
        <v>38</v>
      </c>
      <c r="L7" s="62" t="s">
        <v>270</v>
      </c>
      <c r="M7" s="239"/>
      <c r="N7" s="239"/>
      <c r="O7" s="62" t="s">
        <v>36</v>
      </c>
      <c r="P7" s="62" t="s">
        <v>271</v>
      </c>
      <c r="Q7" s="62" t="s">
        <v>271</v>
      </c>
    </row>
    <row r="8" spans="1:17" ht="35.25" x14ac:dyDescent="0.25">
      <c r="B8" s="62">
        <v>1</v>
      </c>
      <c r="C8" s="62">
        <v>2</v>
      </c>
      <c r="D8" s="62">
        <v>3</v>
      </c>
      <c r="E8" s="62">
        <v>4</v>
      </c>
      <c r="F8" s="62">
        <v>5</v>
      </c>
      <c r="G8" s="63">
        <v>5.5697674418604599</v>
      </c>
      <c r="H8" s="63">
        <v>7</v>
      </c>
      <c r="I8" s="63">
        <v>8</v>
      </c>
      <c r="J8" s="63">
        <v>9</v>
      </c>
      <c r="K8" s="63">
        <v>10</v>
      </c>
      <c r="L8" s="62">
        <v>11</v>
      </c>
      <c r="M8" s="63">
        <v>12</v>
      </c>
      <c r="N8" s="63">
        <v>13</v>
      </c>
      <c r="O8" s="63">
        <v>14</v>
      </c>
      <c r="P8" s="63">
        <v>15</v>
      </c>
      <c r="Q8" s="63">
        <v>16</v>
      </c>
    </row>
    <row r="9" spans="1:17" ht="45.75" x14ac:dyDescent="0.25">
      <c r="B9" s="232" t="s">
        <v>1090</v>
      </c>
      <c r="C9" s="233"/>
      <c r="D9" s="233"/>
      <c r="E9" s="233"/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4"/>
    </row>
    <row r="10" spans="1:17" ht="35.25" x14ac:dyDescent="0.4">
      <c r="B10" s="129" t="s">
        <v>1124</v>
      </c>
      <c r="C10" s="130"/>
      <c r="D10" s="122" t="s">
        <v>943</v>
      </c>
      <c r="E10" s="122" t="s">
        <v>943</v>
      </c>
      <c r="F10" s="122" t="s">
        <v>943</v>
      </c>
      <c r="G10" s="122" t="s">
        <v>943</v>
      </c>
      <c r="H10" s="122" t="s">
        <v>943</v>
      </c>
      <c r="I10" s="126">
        <f>I11+I13+I23+I27+I29+I32+I35+I39+I41+I43+I47+I49+I51+I53+I57+I25+I59+I61</f>
        <v>37263.279999999992</v>
      </c>
      <c r="J10" s="126">
        <f>J11+J13+J23+J27+J29+J32+J35+J39+J41+J43+J47+J49+J51+J53+J57+J25+J59+J61</f>
        <v>29853.81</v>
      </c>
      <c r="K10" s="126">
        <f>K11+K13+K23+K27+K29+K32+K35+K39+K41+K43+K47+K49+K51+K53+K57+K25+K59+K61</f>
        <v>26931.809999999998</v>
      </c>
      <c r="L10" s="135">
        <f>L11+L13+L23+L27+L29+L32+L35+L39+L41+L43+L47+L49+L51+L53+L57+L25+L59+L61</f>
        <v>1558</v>
      </c>
      <c r="M10" s="122" t="s">
        <v>943</v>
      </c>
      <c r="N10" s="122" t="s">
        <v>943</v>
      </c>
      <c r="O10" s="126">
        <v>87771544.497684732</v>
      </c>
      <c r="P10" s="123">
        <f>O10/I10</f>
        <v>2355.4433345020821</v>
      </c>
      <c r="Q10" s="136">
        <f>MAX(Q11:Q62)</f>
        <v>9700.7309255078999</v>
      </c>
    </row>
    <row r="11" spans="1:17" ht="35.25" x14ac:dyDescent="0.4">
      <c r="B11" s="129" t="s">
        <v>867</v>
      </c>
      <c r="C11" s="130"/>
      <c r="D11" s="122" t="s">
        <v>943</v>
      </c>
      <c r="E11" s="122" t="s">
        <v>943</v>
      </c>
      <c r="F11" s="122" t="s">
        <v>943</v>
      </c>
      <c r="G11" s="122" t="s">
        <v>943</v>
      </c>
      <c r="H11" s="122" t="s">
        <v>943</v>
      </c>
      <c r="I11" s="126">
        <f>I12</f>
        <v>792.7</v>
      </c>
      <c r="J11" s="126">
        <f t="shared" ref="J11:L11" si="0">J12</f>
        <v>481</v>
      </c>
      <c r="K11" s="126">
        <f t="shared" si="0"/>
        <v>481</v>
      </c>
      <c r="L11" s="135">
        <f t="shared" si="0"/>
        <v>42</v>
      </c>
      <c r="M11" s="122" t="s">
        <v>943</v>
      </c>
      <c r="N11" s="122" t="s">
        <v>943</v>
      </c>
      <c r="O11" s="123">
        <v>2880000</v>
      </c>
      <c r="P11" s="123">
        <f t="shared" ref="P11:P62" si="1">O11/I11</f>
        <v>3633.1525167150244</v>
      </c>
      <c r="Q11" s="136">
        <f>MAX(Q12)</f>
        <v>5108.0383499432319</v>
      </c>
    </row>
    <row r="12" spans="1:17" ht="35.25" x14ac:dyDescent="0.5">
      <c r="A12" s="7">
        <v>1</v>
      </c>
      <c r="B12" s="131">
        <f>SUBTOTAL(103,$A12:A$12)</f>
        <v>1</v>
      </c>
      <c r="C12" s="132" t="s">
        <v>1093</v>
      </c>
      <c r="D12" s="122">
        <v>1969</v>
      </c>
      <c r="E12" s="122"/>
      <c r="F12" s="122" t="s">
        <v>274</v>
      </c>
      <c r="G12" s="122">
        <v>2</v>
      </c>
      <c r="H12" s="122">
        <v>2</v>
      </c>
      <c r="I12" s="126">
        <v>792.7</v>
      </c>
      <c r="J12" s="126">
        <v>481</v>
      </c>
      <c r="K12" s="126">
        <f>J12</f>
        <v>481</v>
      </c>
      <c r="L12" s="135">
        <v>42</v>
      </c>
      <c r="M12" s="122" t="s">
        <v>273</v>
      </c>
      <c r="N12" s="122" t="s">
        <v>275</v>
      </c>
      <c r="O12" s="123">
        <v>2880000</v>
      </c>
      <c r="P12" s="123">
        <f t="shared" si="1"/>
        <v>3633.1525167150244</v>
      </c>
      <c r="Q12" s="136">
        <v>5108.0383499432319</v>
      </c>
    </row>
    <row r="13" spans="1:17" ht="35.25" x14ac:dyDescent="0.4">
      <c r="B13" s="132" t="s">
        <v>1120</v>
      </c>
      <c r="C13" s="132"/>
      <c r="D13" s="122" t="s">
        <v>943</v>
      </c>
      <c r="E13" s="122" t="s">
        <v>943</v>
      </c>
      <c r="F13" s="122" t="s">
        <v>943</v>
      </c>
      <c r="G13" s="122" t="s">
        <v>943</v>
      </c>
      <c r="H13" s="122" t="s">
        <v>943</v>
      </c>
      <c r="I13" s="126">
        <f>SUM(I14:I22)</f>
        <v>17040.599999999999</v>
      </c>
      <c r="J13" s="126">
        <f t="shared" ref="J13:L13" si="2">SUM(J14:J22)</f>
        <v>13173.500000000002</v>
      </c>
      <c r="K13" s="126">
        <f t="shared" si="2"/>
        <v>12423.899999999998</v>
      </c>
      <c r="L13" s="135">
        <f t="shared" si="2"/>
        <v>633</v>
      </c>
      <c r="M13" s="122" t="s">
        <v>943</v>
      </c>
      <c r="N13" s="122" t="s">
        <v>943</v>
      </c>
      <c r="O13" s="123">
        <v>27624193.716305416</v>
      </c>
      <c r="P13" s="123">
        <f t="shared" si="1"/>
        <v>1621.0810485725513</v>
      </c>
      <c r="Q13" s="136">
        <f>MAX(Q14:Q21)</f>
        <v>9700.7309255078999</v>
      </c>
    </row>
    <row r="14" spans="1:17" ht="35.25" x14ac:dyDescent="0.5">
      <c r="A14" s="7">
        <v>1</v>
      </c>
      <c r="B14" s="118">
        <f>SUBTOTAL(103,$A$12:A14)</f>
        <v>2</v>
      </c>
      <c r="C14" s="132" t="s">
        <v>1094</v>
      </c>
      <c r="D14" s="122">
        <v>1958</v>
      </c>
      <c r="E14" s="122"/>
      <c r="F14" s="122" t="s">
        <v>274</v>
      </c>
      <c r="G14" s="122">
        <v>5</v>
      </c>
      <c r="H14" s="122">
        <v>4</v>
      </c>
      <c r="I14" s="126">
        <v>5229.2</v>
      </c>
      <c r="J14" s="126">
        <v>2434.1</v>
      </c>
      <c r="K14" s="126">
        <f>J14-227.6</f>
        <v>2206.5</v>
      </c>
      <c r="L14" s="135">
        <v>121</v>
      </c>
      <c r="M14" s="122" t="s">
        <v>351</v>
      </c>
      <c r="N14" s="122" t="s">
        <v>1132</v>
      </c>
      <c r="O14" s="123">
        <v>7302960</v>
      </c>
      <c r="P14" s="123">
        <f t="shared" si="1"/>
        <v>1396.5730895739312</v>
      </c>
      <c r="Q14" s="136">
        <v>2010.5555731278207</v>
      </c>
    </row>
    <row r="15" spans="1:17" ht="35.25" x14ac:dyDescent="0.5">
      <c r="A15" s="7">
        <v>1</v>
      </c>
      <c r="B15" s="118">
        <f>SUBTOTAL(103,$A$12:A15)</f>
        <v>3</v>
      </c>
      <c r="C15" s="132" t="s">
        <v>1095</v>
      </c>
      <c r="D15" s="122">
        <v>1979</v>
      </c>
      <c r="E15" s="122"/>
      <c r="F15" s="122" t="s">
        <v>274</v>
      </c>
      <c r="G15" s="122">
        <v>5</v>
      </c>
      <c r="H15" s="122">
        <v>1</v>
      </c>
      <c r="I15" s="126">
        <v>802.1</v>
      </c>
      <c r="J15" s="126">
        <v>554.20000000000005</v>
      </c>
      <c r="K15" s="126">
        <f>J15</f>
        <v>554.20000000000005</v>
      </c>
      <c r="L15" s="135">
        <v>25</v>
      </c>
      <c r="M15" s="122" t="s">
        <v>276</v>
      </c>
      <c r="N15" s="122" t="s">
        <v>1133</v>
      </c>
      <c r="O15" s="123">
        <v>1077000</v>
      </c>
      <c r="P15" s="123">
        <f t="shared" si="1"/>
        <v>1342.725345966837</v>
      </c>
      <c r="Q15" s="136">
        <v>2019.2704151602043</v>
      </c>
    </row>
    <row r="16" spans="1:17" ht="35.25" x14ac:dyDescent="0.5">
      <c r="A16" s="7">
        <v>1</v>
      </c>
      <c r="B16" s="118">
        <f>SUBTOTAL(103,$A$12:A16)</f>
        <v>4</v>
      </c>
      <c r="C16" s="132" t="s">
        <v>1096</v>
      </c>
      <c r="D16" s="122">
        <v>1961</v>
      </c>
      <c r="E16" s="122"/>
      <c r="F16" s="122" t="s">
        <v>274</v>
      </c>
      <c r="G16" s="122">
        <v>2</v>
      </c>
      <c r="H16" s="122">
        <v>1</v>
      </c>
      <c r="I16" s="126">
        <v>301.39999999999998</v>
      </c>
      <c r="J16" s="126">
        <v>276.5</v>
      </c>
      <c r="K16" s="126">
        <f>J16-38</f>
        <v>238.5</v>
      </c>
      <c r="L16" s="135">
        <v>16</v>
      </c>
      <c r="M16" s="122" t="s">
        <v>276</v>
      </c>
      <c r="N16" s="122" t="s">
        <v>1068</v>
      </c>
      <c r="O16" s="123">
        <v>1153050</v>
      </c>
      <c r="P16" s="123">
        <f t="shared" si="1"/>
        <v>3825.6469807564699</v>
      </c>
      <c r="Q16" s="136">
        <v>5754.4210019907105</v>
      </c>
    </row>
    <row r="17" spans="1:17" ht="35.25" x14ac:dyDescent="0.5">
      <c r="A17" s="7">
        <v>1</v>
      </c>
      <c r="B17" s="118">
        <f>SUBTOTAL(103,$A$12:A17)</f>
        <v>5</v>
      </c>
      <c r="C17" s="132" t="s">
        <v>1109</v>
      </c>
      <c r="D17" s="122">
        <v>1957</v>
      </c>
      <c r="E17" s="122"/>
      <c r="F17" s="122" t="s">
        <v>274</v>
      </c>
      <c r="G17" s="122">
        <v>2</v>
      </c>
      <c r="H17" s="122">
        <v>1</v>
      </c>
      <c r="I17" s="126">
        <v>272.39999999999998</v>
      </c>
      <c r="J17" s="126">
        <v>194.8</v>
      </c>
      <c r="K17" s="126">
        <f>J17-37.2</f>
        <v>157.60000000000002</v>
      </c>
      <c r="L17" s="135">
        <v>14</v>
      </c>
      <c r="M17" s="122" t="s">
        <v>276</v>
      </c>
      <c r="N17" s="122" t="s">
        <v>1134</v>
      </c>
      <c r="O17" s="123">
        <v>1588190.9963054184</v>
      </c>
      <c r="P17" s="123">
        <f t="shared" si="1"/>
        <v>5830.3634225602736</v>
      </c>
      <c r="Q17" s="136">
        <v>9410.3362701908973</v>
      </c>
    </row>
    <row r="18" spans="1:17" ht="35.25" x14ac:dyDescent="0.5">
      <c r="A18" s="7">
        <v>1</v>
      </c>
      <c r="B18" s="118">
        <f>SUBTOTAL(103,$A$12:A18)</f>
        <v>6</v>
      </c>
      <c r="C18" s="132" t="s">
        <v>1157</v>
      </c>
      <c r="D18" s="122">
        <v>1960</v>
      </c>
      <c r="E18" s="122"/>
      <c r="F18" s="122" t="s">
        <v>274</v>
      </c>
      <c r="G18" s="122">
        <v>4</v>
      </c>
      <c r="H18" s="122">
        <v>4</v>
      </c>
      <c r="I18" s="126">
        <v>2738.8</v>
      </c>
      <c r="J18" s="126">
        <v>2498.1</v>
      </c>
      <c r="K18" s="126">
        <f>2498.1-114.3</f>
        <v>2383.7999999999997</v>
      </c>
      <c r="L18" s="135">
        <v>128</v>
      </c>
      <c r="M18" s="122" t="s">
        <v>276</v>
      </c>
      <c r="N18" s="122" t="s">
        <v>1156</v>
      </c>
      <c r="O18" s="123">
        <v>3773900</v>
      </c>
      <c r="P18" s="123">
        <f t="shared" si="1"/>
        <v>1377.9392434642909</v>
      </c>
      <c r="Q18" s="136">
        <v>2057.4908536585367</v>
      </c>
    </row>
    <row r="19" spans="1:17" ht="35.25" x14ac:dyDescent="0.5">
      <c r="A19" s="7">
        <v>1</v>
      </c>
      <c r="B19" s="118">
        <f>SUBTOTAL(103,$A$12:A19)</f>
        <v>7</v>
      </c>
      <c r="C19" s="132" t="s">
        <v>574</v>
      </c>
      <c r="D19" s="122">
        <v>1968</v>
      </c>
      <c r="E19" s="122"/>
      <c r="F19" s="122" t="s">
        <v>274</v>
      </c>
      <c r="G19" s="122">
        <v>5</v>
      </c>
      <c r="H19" s="122">
        <v>8</v>
      </c>
      <c r="I19" s="126">
        <v>6354.1</v>
      </c>
      <c r="J19" s="126">
        <v>6107.5</v>
      </c>
      <c r="K19" s="126">
        <f>6107.5-242.5</f>
        <v>5865</v>
      </c>
      <c r="L19" s="135">
        <v>260</v>
      </c>
      <c r="M19" s="122" t="s">
        <v>276</v>
      </c>
      <c r="N19" s="122" t="s">
        <v>1156</v>
      </c>
      <c r="O19" s="123">
        <v>6344168.71</v>
      </c>
      <c r="P19" s="123">
        <f t="shared" si="1"/>
        <v>998.43702648683518</v>
      </c>
      <c r="Q19" s="136">
        <v>1810.104948143718</v>
      </c>
    </row>
    <row r="20" spans="1:17" ht="35.25" x14ac:dyDescent="0.5">
      <c r="A20" s="7">
        <v>1</v>
      </c>
      <c r="B20" s="118">
        <f>SUBTOTAL(103,$A$12:A20)</f>
        <v>8</v>
      </c>
      <c r="C20" s="115" t="s">
        <v>1166</v>
      </c>
      <c r="D20" s="122">
        <v>1956</v>
      </c>
      <c r="E20" s="122"/>
      <c r="F20" s="122" t="s">
        <v>274</v>
      </c>
      <c r="G20" s="122">
        <v>2</v>
      </c>
      <c r="H20" s="122">
        <v>1</v>
      </c>
      <c r="I20" s="126">
        <v>443</v>
      </c>
      <c r="J20" s="126">
        <v>397.1</v>
      </c>
      <c r="K20" s="126">
        <v>353.4</v>
      </c>
      <c r="L20" s="135">
        <v>24</v>
      </c>
      <c r="M20" s="122" t="s">
        <v>276</v>
      </c>
      <c r="N20" s="122" t="s">
        <v>1156</v>
      </c>
      <c r="O20" s="123">
        <v>1997192</v>
      </c>
      <c r="P20" s="123">
        <f t="shared" si="1"/>
        <v>4508.3340857787807</v>
      </c>
      <c r="Q20" s="136">
        <v>9700.7309255078999</v>
      </c>
    </row>
    <row r="21" spans="1:17" ht="35.25" x14ac:dyDescent="0.5">
      <c r="A21" s="7">
        <v>1</v>
      </c>
      <c r="B21" s="118">
        <f>SUBTOTAL(103,$A$12:A21)</f>
        <v>9</v>
      </c>
      <c r="C21" s="115" t="s">
        <v>1167</v>
      </c>
      <c r="D21" s="122">
        <v>1956</v>
      </c>
      <c r="E21" s="122"/>
      <c r="F21" s="122" t="s">
        <v>274</v>
      </c>
      <c r="G21" s="122">
        <v>2</v>
      </c>
      <c r="H21" s="122">
        <v>1</v>
      </c>
      <c r="I21" s="126">
        <v>512.5</v>
      </c>
      <c r="J21" s="126">
        <v>324.10000000000002</v>
      </c>
      <c r="K21" s="126">
        <v>324.10000000000002</v>
      </c>
      <c r="L21" s="135">
        <v>25</v>
      </c>
      <c r="M21" s="122" t="s">
        <v>276</v>
      </c>
      <c r="N21" s="122" t="s">
        <v>1134</v>
      </c>
      <c r="O21" s="123">
        <v>2372807.9900000002</v>
      </c>
      <c r="P21" s="123">
        <f t="shared" si="1"/>
        <v>4629.8692487804883</v>
      </c>
      <c r="Q21" s="136">
        <v>7242.3678048780484</v>
      </c>
    </row>
    <row r="22" spans="1:17" ht="35.25" x14ac:dyDescent="0.5">
      <c r="A22" s="7">
        <v>1</v>
      </c>
      <c r="B22" s="118">
        <f>SUBTOTAL(103,$A$12:A22)</f>
        <v>10</v>
      </c>
      <c r="C22" s="115" t="s">
        <v>1510</v>
      </c>
      <c r="D22" s="122">
        <v>1957</v>
      </c>
      <c r="E22" s="122"/>
      <c r="F22" s="122" t="s">
        <v>274</v>
      </c>
      <c r="G22" s="122">
        <v>2</v>
      </c>
      <c r="H22" s="122">
        <v>1</v>
      </c>
      <c r="I22" s="126">
        <v>387.1</v>
      </c>
      <c r="J22" s="126">
        <v>387.1</v>
      </c>
      <c r="K22" s="126">
        <v>340.8</v>
      </c>
      <c r="L22" s="135">
        <v>20</v>
      </c>
      <c r="M22" s="122" t="s">
        <v>276</v>
      </c>
      <c r="N22" s="122" t="s">
        <v>1511</v>
      </c>
      <c r="O22" s="123">
        <v>2014924.02</v>
      </c>
      <c r="P22" s="123">
        <f t="shared" si="1"/>
        <v>5205.1770085249291</v>
      </c>
      <c r="Q22" s="136">
        <f>P22</f>
        <v>5205.1770085249291</v>
      </c>
    </row>
    <row r="23" spans="1:17" ht="35.25" x14ac:dyDescent="0.4">
      <c r="B23" s="132" t="s">
        <v>871</v>
      </c>
      <c r="C23" s="132"/>
      <c r="D23" s="122" t="s">
        <v>943</v>
      </c>
      <c r="E23" s="122" t="s">
        <v>943</v>
      </c>
      <c r="F23" s="122" t="s">
        <v>943</v>
      </c>
      <c r="G23" s="122" t="s">
        <v>943</v>
      </c>
      <c r="H23" s="122" t="s">
        <v>943</v>
      </c>
      <c r="I23" s="126">
        <f>I24</f>
        <v>882.3</v>
      </c>
      <c r="J23" s="126">
        <f t="shared" ref="J23:L23" si="3">J24</f>
        <v>779.5</v>
      </c>
      <c r="K23" s="126">
        <f t="shared" si="3"/>
        <v>779.5</v>
      </c>
      <c r="L23" s="135">
        <f t="shared" si="3"/>
        <v>29</v>
      </c>
      <c r="M23" s="122" t="s">
        <v>943</v>
      </c>
      <c r="N23" s="122" t="s">
        <v>943</v>
      </c>
      <c r="O23" s="123">
        <v>1376400</v>
      </c>
      <c r="P23" s="123">
        <f t="shared" si="1"/>
        <v>1560.0136008160491</v>
      </c>
      <c r="Q23" s="136">
        <f>MAX(Q24)</f>
        <v>2193.3043720956593</v>
      </c>
    </row>
    <row r="24" spans="1:17" ht="35.25" x14ac:dyDescent="0.5">
      <c r="A24" s="7">
        <v>1</v>
      </c>
      <c r="B24" s="131">
        <f>SUBTOTAL(103,$A$12:A24)</f>
        <v>11</v>
      </c>
      <c r="C24" s="132" t="s">
        <v>723</v>
      </c>
      <c r="D24" s="122">
        <v>1982</v>
      </c>
      <c r="E24" s="122"/>
      <c r="F24" s="122" t="s">
        <v>274</v>
      </c>
      <c r="G24" s="122">
        <v>4</v>
      </c>
      <c r="H24" s="122">
        <v>1</v>
      </c>
      <c r="I24" s="126">
        <v>882.3</v>
      </c>
      <c r="J24" s="126">
        <v>779.5</v>
      </c>
      <c r="K24" s="126">
        <f>J24</f>
        <v>779.5</v>
      </c>
      <c r="L24" s="135">
        <v>29</v>
      </c>
      <c r="M24" s="122" t="s">
        <v>273</v>
      </c>
      <c r="N24" s="122" t="s">
        <v>275</v>
      </c>
      <c r="O24" s="123">
        <v>1376400</v>
      </c>
      <c r="P24" s="123">
        <f t="shared" si="1"/>
        <v>1560.0136008160491</v>
      </c>
      <c r="Q24" s="136">
        <v>2193.3043720956593</v>
      </c>
    </row>
    <row r="25" spans="1:17" ht="35.25" x14ac:dyDescent="0.5">
      <c r="B25" s="133" t="s">
        <v>875</v>
      </c>
      <c r="C25" s="132"/>
      <c r="D25" s="122" t="s">
        <v>943</v>
      </c>
      <c r="E25" s="122" t="s">
        <v>943</v>
      </c>
      <c r="F25" s="122" t="s">
        <v>943</v>
      </c>
      <c r="G25" s="122" t="s">
        <v>943</v>
      </c>
      <c r="H25" s="122" t="s">
        <v>943</v>
      </c>
      <c r="I25" s="126">
        <f>I26</f>
        <v>1813.2</v>
      </c>
      <c r="J25" s="126">
        <f t="shared" ref="J25:L25" si="4">J26</f>
        <v>1042.3</v>
      </c>
      <c r="K25" s="126">
        <f t="shared" si="4"/>
        <v>567</v>
      </c>
      <c r="L25" s="135">
        <f t="shared" si="4"/>
        <v>156</v>
      </c>
      <c r="M25" s="122" t="s">
        <v>943</v>
      </c>
      <c r="N25" s="122" t="s">
        <v>943</v>
      </c>
      <c r="O25" s="123">
        <v>6000000</v>
      </c>
      <c r="P25" s="123">
        <f t="shared" si="1"/>
        <v>3309.0668431502318</v>
      </c>
      <c r="Q25" s="136">
        <f>MAX(Q26)</f>
        <v>4652.3894220163247</v>
      </c>
    </row>
    <row r="26" spans="1:17" ht="35.25" x14ac:dyDescent="0.5">
      <c r="A26" s="7">
        <v>1</v>
      </c>
      <c r="B26" s="131">
        <f>SUBTOTAL(103,$A$12:A26)</f>
        <v>12</v>
      </c>
      <c r="C26" s="132" t="s">
        <v>1145</v>
      </c>
      <c r="D26" s="122">
        <v>2007</v>
      </c>
      <c r="E26" s="122"/>
      <c r="F26" s="122" t="s">
        <v>274</v>
      </c>
      <c r="G26" s="122">
        <v>3</v>
      </c>
      <c r="H26" s="122">
        <v>3</v>
      </c>
      <c r="I26" s="126">
        <v>1813.2</v>
      </c>
      <c r="J26" s="126">
        <v>1042.3</v>
      </c>
      <c r="K26" s="126">
        <f>J26-475.3</f>
        <v>567</v>
      </c>
      <c r="L26" s="135">
        <v>156</v>
      </c>
      <c r="M26" s="122" t="s">
        <v>276</v>
      </c>
      <c r="N26" s="122" t="s">
        <v>1147</v>
      </c>
      <c r="O26" s="123">
        <v>6000000</v>
      </c>
      <c r="P26" s="123">
        <f t="shared" si="1"/>
        <v>3309.0668431502318</v>
      </c>
      <c r="Q26" s="136">
        <v>4652.3894220163247</v>
      </c>
    </row>
    <row r="27" spans="1:17" ht="35.25" x14ac:dyDescent="0.4">
      <c r="B27" s="132" t="s">
        <v>876</v>
      </c>
      <c r="C27" s="132"/>
      <c r="D27" s="122" t="s">
        <v>943</v>
      </c>
      <c r="E27" s="122" t="s">
        <v>943</v>
      </c>
      <c r="F27" s="122" t="s">
        <v>943</v>
      </c>
      <c r="G27" s="122" t="s">
        <v>943</v>
      </c>
      <c r="H27" s="122" t="s">
        <v>943</v>
      </c>
      <c r="I27" s="126">
        <f>I28</f>
        <v>366.5</v>
      </c>
      <c r="J27" s="126">
        <f t="shared" ref="J27:L27" si="5">J28</f>
        <v>336.9</v>
      </c>
      <c r="K27" s="126">
        <f t="shared" si="5"/>
        <v>336.9</v>
      </c>
      <c r="L27" s="135">
        <f t="shared" si="5"/>
        <v>13</v>
      </c>
      <c r="M27" s="122" t="s">
        <v>943</v>
      </c>
      <c r="N27" s="122" t="s">
        <v>943</v>
      </c>
      <c r="O27" s="123">
        <v>1405440</v>
      </c>
      <c r="P27" s="123">
        <f t="shared" si="1"/>
        <v>3834.7612551159618</v>
      </c>
      <c r="Q27" s="136">
        <f>MAX(Q28)</f>
        <v>5391.4905757162351</v>
      </c>
    </row>
    <row r="28" spans="1:17" ht="35.25" x14ac:dyDescent="0.5">
      <c r="A28" s="7">
        <v>1</v>
      </c>
      <c r="B28" s="131">
        <f>SUBTOTAL(103,$A$12:A28)</f>
        <v>13</v>
      </c>
      <c r="C28" s="132" t="s">
        <v>1097</v>
      </c>
      <c r="D28" s="122">
        <v>1971</v>
      </c>
      <c r="E28" s="122"/>
      <c r="F28" s="122" t="s">
        <v>274</v>
      </c>
      <c r="G28" s="122">
        <v>2</v>
      </c>
      <c r="H28" s="122">
        <v>1</v>
      </c>
      <c r="I28" s="126">
        <v>366.5</v>
      </c>
      <c r="J28" s="126">
        <v>336.9</v>
      </c>
      <c r="K28" s="126">
        <f>J28</f>
        <v>336.9</v>
      </c>
      <c r="L28" s="135">
        <v>13</v>
      </c>
      <c r="M28" s="122" t="s">
        <v>276</v>
      </c>
      <c r="N28" s="122" t="s">
        <v>343</v>
      </c>
      <c r="O28" s="123">
        <v>1405440</v>
      </c>
      <c r="P28" s="123">
        <f t="shared" si="1"/>
        <v>3834.7612551159618</v>
      </c>
      <c r="Q28" s="136">
        <v>5391.4905757162351</v>
      </c>
    </row>
    <row r="29" spans="1:17" ht="35.25" x14ac:dyDescent="0.4">
      <c r="B29" s="132" t="s">
        <v>1121</v>
      </c>
      <c r="C29" s="132"/>
      <c r="D29" s="122" t="s">
        <v>943</v>
      </c>
      <c r="E29" s="122" t="s">
        <v>943</v>
      </c>
      <c r="F29" s="122" t="s">
        <v>943</v>
      </c>
      <c r="G29" s="122" t="s">
        <v>943</v>
      </c>
      <c r="H29" s="122" t="s">
        <v>943</v>
      </c>
      <c r="I29" s="126">
        <f>I30+I31</f>
        <v>874.3</v>
      </c>
      <c r="J29" s="126">
        <f t="shared" ref="J29:L29" si="6">J30+J31</f>
        <v>820.40000000000009</v>
      </c>
      <c r="K29" s="126">
        <f t="shared" si="6"/>
        <v>653.30000000000007</v>
      </c>
      <c r="L29" s="135">
        <f t="shared" si="6"/>
        <v>38</v>
      </c>
      <c r="M29" s="122" t="s">
        <v>943</v>
      </c>
      <c r="N29" s="122" t="s">
        <v>943</v>
      </c>
      <c r="O29" s="123">
        <v>3363253.9701477829</v>
      </c>
      <c r="P29" s="123">
        <f t="shared" si="1"/>
        <v>3846.7962600340652</v>
      </c>
      <c r="Q29" s="136">
        <f>MAX(Q30:Q31)</f>
        <v>8009.3369371909012</v>
      </c>
    </row>
    <row r="30" spans="1:17" ht="35.25" x14ac:dyDescent="0.5">
      <c r="A30" s="7">
        <v>1</v>
      </c>
      <c r="B30" s="131">
        <f>SUBTOTAL(103,$A$12:A30)</f>
        <v>14</v>
      </c>
      <c r="C30" s="132" t="s">
        <v>1098</v>
      </c>
      <c r="D30" s="122">
        <v>1938</v>
      </c>
      <c r="E30" s="122"/>
      <c r="F30" s="122" t="s">
        <v>340</v>
      </c>
      <c r="G30" s="122">
        <v>2</v>
      </c>
      <c r="H30" s="122">
        <v>2</v>
      </c>
      <c r="I30" s="126">
        <v>469.9</v>
      </c>
      <c r="J30" s="126">
        <v>418.1</v>
      </c>
      <c r="K30" s="126">
        <f>J30-167.1</f>
        <v>251.00000000000003</v>
      </c>
      <c r="L30" s="135">
        <v>19</v>
      </c>
      <c r="M30" s="122" t="s">
        <v>273</v>
      </c>
      <c r="N30" s="122" t="s">
        <v>275</v>
      </c>
      <c r="O30" s="123">
        <v>1824000</v>
      </c>
      <c r="P30" s="123">
        <f t="shared" si="1"/>
        <v>3881.6769525430946</v>
      </c>
      <c r="Q30" s="136">
        <v>5457.4517982549487</v>
      </c>
    </row>
    <row r="31" spans="1:17" ht="35.25" x14ac:dyDescent="0.5">
      <c r="A31" s="7">
        <v>1</v>
      </c>
      <c r="B31" s="131">
        <f>SUBTOTAL(103,$A$12:A31)</f>
        <v>15</v>
      </c>
      <c r="C31" s="132" t="s">
        <v>1099</v>
      </c>
      <c r="D31" s="122">
        <v>1950</v>
      </c>
      <c r="E31" s="122"/>
      <c r="F31" s="122" t="s">
        <v>340</v>
      </c>
      <c r="G31" s="122">
        <v>2</v>
      </c>
      <c r="H31" s="122">
        <v>2</v>
      </c>
      <c r="I31" s="126">
        <v>404.4</v>
      </c>
      <c r="J31" s="126">
        <v>402.3</v>
      </c>
      <c r="K31" s="126">
        <f>J31</f>
        <v>402.3</v>
      </c>
      <c r="L31" s="135">
        <v>19</v>
      </c>
      <c r="M31" s="122" t="s">
        <v>273</v>
      </c>
      <c r="N31" s="122" t="s">
        <v>275</v>
      </c>
      <c r="O31" s="123">
        <v>1539253.9701477832</v>
      </c>
      <c r="P31" s="123">
        <f t="shared" si="1"/>
        <v>3806.2659993763186</v>
      </c>
      <c r="Q31" s="136">
        <v>8009.3369371909012</v>
      </c>
    </row>
    <row r="32" spans="1:17" ht="35.25" x14ac:dyDescent="0.4">
      <c r="B32" s="132" t="s">
        <v>883</v>
      </c>
      <c r="C32" s="132"/>
      <c r="D32" s="122" t="s">
        <v>943</v>
      </c>
      <c r="E32" s="122" t="s">
        <v>943</v>
      </c>
      <c r="F32" s="122" t="s">
        <v>943</v>
      </c>
      <c r="G32" s="122" t="s">
        <v>943</v>
      </c>
      <c r="H32" s="122" t="s">
        <v>943</v>
      </c>
      <c r="I32" s="126">
        <f>I33+I34</f>
        <v>845.48</v>
      </c>
      <c r="J32" s="126">
        <f t="shared" ref="J32:L32" si="7">J33+J34</f>
        <v>724.81000000000006</v>
      </c>
      <c r="K32" s="126">
        <f t="shared" si="7"/>
        <v>544.31000000000006</v>
      </c>
      <c r="L32" s="135">
        <f t="shared" si="7"/>
        <v>48</v>
      </c>
      <c r="M32" s="122" t="s">
        <v>943</v>
      </c>
      <c r="N32" s="122" t="s">
        <v>943</v>
      </c>
      <c r="O32" s="123">
        <v>3465600.02</v>
      </c>
      <c r="P32" s="123">
        <f t="shared" si="1"/>
        <v>4098.9733878979987</v>
      </c>
      <c r="Q32" s="136">
        <f>MAX(Q33:Q34)</f>
        <v>6468.5140691642655</v>
      </c>
    </row>
    <row r="33" spans="1:17" ht="35.25" x14ac:dyDescent="0.5">
      <c r="A33" s="7">
        <v>1</v>
      </c>
      <c r="B33" s="131">
        <f>SUBTOTAL(103,$A$12:A33)</f>
        <v>16</v>
      </c>
      <c r="C33" s="132" t="s">
        <v>1119</v>
      </c>
      <c r="D33" s="122">
        <v>1962</v>
      </c>
      <c r="E33" s="122"/>
      <c r="F33" s="122" t="s">
        <v>274</v>
      </c>
      <c r="G33" s="122">
        <v>2</v>
      </c>
      <c r="H33" s="122">
        <v>2</v>
      </c>
      <c r="I33" s="126">
        <v>671.98</v>
      </c>
      <c r="J33" s="126">
        <v>624.21</v>
      </c>
      <c r="K33" s="126">
        <f>J33-79.9</f>
        <v>544.31000000000006</v>
      </c>
      <c r="L33" s="135">
        <v>38</v>
      </c>
      <c r="M33" s="122" t="s">
        <v>276</v>
      </c>
      <c r="N33" s="122" t="s">
        <v>293</v>
      </c>
      <c r="O33" s="123">
        <v>2667360.02</v>
      </c>
      <c r="P33" s="123">
        <f t="shared" si="1"/>
        <v>3969.403881067889</v>
      </c>
      <c r="Q33" s="136">
        <v>5580.7916143337598</v>
      </c>
    </row>
    <row r="34" spans="1:17" ht="35.25" x14ac:dyDescent="0.5">
      <c r="A34" s="7">
        <v>1</v>
      </c>
      <c r="B34" s="131">
        <f>SUBTOTAL(103,$A$12:A34)</f>
        <v>17</v>
      </c>
      <c r="C34" s="132" t="s">
        <v>1100</v>
      </c>
      <c r="D34" s="122">
        <v>1964</v>
      </c>
      <c r="E34" s="122"/>
      <c r="F34" s="122" t="s">
        <v>274</v>
      </c>
      <c r="G34" s="122">
        <v>2</v>
      </c>
      <c r="H34" s="122">
        <v>1</v>
      </c>
      <c r="I34" s="126">
        <v>173.5</v>
      </c>
      <c r="J34" s="126">
        <v>100.6</v>
      </c>
      <c r="K34" s="126">
        <v>0</v>
      </c>
      <c r="L34" s="135">
        <v>10</v>
      </c>
      <c r="M34" s="122" t="s">
        <v>273</v>
      </c>
      <c r="N34" s="122" t="s">
        <v>275</v>
      </c>
      <c r="O34" s="123">
        <v>798240</v>
      </c>
      <c r="P34" s="123">
        <f t="shared" si="1"/>
        <v>4600.8069164265125</v>
      </c>
      <c r="Q34" s="136">
        <v>6468.5140691642655</v>
      </c>
    </row>
    <row r="35" spans="1:17" ht="35.25" x14ac:dyDescent="0.4">
      <c r="B35" s="132" t="s">
        <v>810</v>
      </c>
      <c r="C35" s="132"/>
      <c r="D35" s="122" t="s">
        <v>943</v>
      </c>
      <c r="E35" s="122" t="s">
        <v>943</v>
      </c>
      <c r="F35" s="122" t="s">
        <v>943</v>
      </c>
      <c r="G35" s="122" t="s">
        <v>943</v>
      </c>
      <c r="H35" s="122" t="s">
        <v>943</v>
      </c>
      <c r="I35" s="126">
        <f>I36+I37+I38</f>
        <v>2093.1</v>
      </c>
      <c r="J35" s="126">
        <f t="shared" ref="J35:L35" si="8">J36+J37+J38</f>
        <v>1503.4</v>
      </c>
      <c r="K35" s="126">
        <f t="shared" si="8"/>
        <v>1335</v>
      </c>
      <c r="L35" s="135">
        <f t="shared" si="8"/>
        <v>110</v>
      </c>
      <c r="M35" s="122" t="s">
        <v>943</v>
      </c>
      <c r="N35" s="122" t="s">
        <v>943</v>
      </c>
      <c r="O35" s="123">
        <v>5920666.21</v>
      </c>
      <c r="P35" s="123">
        <f t="shared" si="1"/>
        <v>2828.6590272801109</v>
      </c>
      <c r="Q35" s="136">
        <f>MAX(Q36:Q38)</f>
        <v>5844.2616200000002</v>
      </c>
    </row>
    <row r="36" spans="1:17" ht="35.25" x14ac:dyDescent="0.5">
      <c r="A36" s="7">
        <v>1</v>
      </c>
      <c r="B36" s="131">
        <f>SUBTOTAL(103,$A$12:A36)</f>
        <v>18</v>
      </c>
      <c r="C36" s="132" t="s">
        <v>1101</v>
      </c>
      <c r="D36" s="122">
        <v>1960</v>
      </c>
      <c r="E36" s="122"/>
      <c r="F36" s="122" t="s">
        <v>274</v>
      </c>
      <c r="G36" s="122">
        <v>2</v>
      </c>
      <c r="H36" s="122">
        <v>1</v>
      </c>
      <c r="I36" s="126">
        <v>306.60000000000002</v>
      </c>
      <c r="J36" s="126">
        <v>285.8</v>
      </c>
      <c r="K36" s="126">
        <f>J36-33.2</f>
        <v>252.60000000000002</v>
      </c>
      <c r="L36" s="135">
        <v>21</v>
      </c>
      <c r="M36" s="122" t="s">
        <v>273</v>
      </c>
      <c r="N36" s="122" t="s">
        <v>275</v>
      </c>
      <c r="O36" s="123">
        <v>1077466.21</v>
      </c>
      <c r="P36" s="123">
        <f t="shared" si="1"/>
        <v>3514.2407371167642</v>
      </c>
      <c r="Q36" s="136">
        <v>4541.7479902152636</v>
      </c>
    </row>
    <row r="37" spans="1:17" ht="35.25" x14ac:dyDescent="0.5">
      <c r="A37" s="7">
        <v>1</v>
      </c>
      <c r="B37" s="131">
        <f>SUBTOTAL(103,$A$12:A37)</f>
        <v>19</v>
      </c>
      <c r="C37" s="132" t="s">
        <v>835</v>
      </c>
      <c r="D37" s="122">
        <v>1960</v>
      </c>
      <c r="E37" s="122"/>
      <c r="F37" s="122" t="s">
        <v>274</v>
      </c>
      <c r="G37" s="122">
        <v>3</v>
      </c>
      <c r="H37" s="122">
        <v>2</v>
      </c>
      <c r="I37" s="126">
        <v>1286.5</v>
      </c>
      <c r="J37" s="126">
        <v>739.6</v>
      </c>
      <c r="K37" s="126">
        <f>J37-65.9</f>
        <v>673.7</v>
      </c>
      <c r="L37" s="135">
        <v>39</v>
      </c>
      <c r="M37" s="122" t="s">
        <v>276</v>
      </c>
      <c r="N37" s="122" t="s">
        <v>1135</v>
      </c>
      <c r="O37" s="123">
        <v>2764800</v>
      </c>
      <c r="P37" s="123">
        <f t="shared" si="1"/>
        <v>2149.086669257676</v>
      </c>
      <c r="Q37" s="136">
        <v>3021.5128799067234</v>
      </c>
    </row>
    <row r="38" spans="1:17" ht="35.25" x14ac:dyDescent="0.5">
      <c r="A38" s="7">
        <v>1</v>
      </c>
      <c r="B38" s="131">
        <f>SUBTOTAL(103,$A$12:A38)</f>
        <v>20</v>
      </c>
      <c r="C38" s="132" t="s">
        <v>826</v>
      </c>
      <c r="D38" s="122">
        <v>1965</v>
      </c>
      <c r="E38" s="122"/>
      <c r="F38" s="122" t="s">
        <v>274</v>
      </c>
      <c r="G38" s="122">
        <v>2</v>
      </c>
      <c r="H38" s="122">
        <v>3</v>
      </c>
      <c r="I38" s="126">
        <v>500</v>
      </c>
      <c r="J38" s="126">
        <v>478</v>
      </c>
      <c r="K38" s="126">
        <f>J38-69.3</f>
        <v>408.7</v>
      </c>
      <c r="L38" s="135">
        <v>50</v>
      </c>
      <c r="M38" s="122" t="s">
        <v>273</v>
      </c>
      <c r="N38" s="122" t="s">
        <v>275</v>
      </c>
      <c r="O38" s="123">
        <v>2078400</v>
      </c>
      <c r="P38" s="123">
        <f t="shared" si="1"/>
        <v>4156.8</v>
      </c>
      <c r="Q38" s="136">
        <v>5844.2616200000002</v>
      </c>
    </row>
    <row r="39" spans="1:17" ht="35.25" x14ac:dyDescent="0.4">
      <c r="B39" s="132" t="s">
        <v>890</v>
      </c>
      <c r="C39" s="132"/>
      <c r="D39" s="122" t="s">
        <v>943</v>
      </c>
      <c r="E39" s="122" t="s">
        <v>943</v>
      </c>
      <c r="F39" s="122" t="s">
        <v>943</v>
      </c>
      <c r="G39" s="122" t="s">
        <v>943</v>
      </c>
      <c r="H39" s="122" t="s">
        <v>943</v>
      </c>
      <c r="I39" s="126">
        <f>I40</f>
        <v>755.8</v>
      </c>
      <c r="J39" s="126">
        <f t="shared" ref="J39:L39" si="9">J40</f>
        <v>690.5</v>
      </c>
      <c r="K39" s="126">
        <f t="shared" si="9"/>
        <v>391.9</v>
      </c>
      <c r="L39" s="135">
        <f t="shared" si="9"/>
        <v>20</v>
      </c>
      <c r="M39" s="122" t="s">
        <v>943</v>
      </c>
      <c r="N39" s="122" t="s">
        <v>943</v>
      </c>
      <c r="O39" s="123">
        <v>2154384</v>
      </c>
      <c r="P39" s="123">
        <f t="shared" si="1"/>
        <v>2850.4683778777458</v>
      </c>
      <c r="Q39" s="136">
        <f>MAX(Q40)</f>
        <v>4007.6219543530033</v>
      </c>
    </row>
    <row r="40" spans="1:17" ht="35.25" x14ac:dyDescent="0.5">
      <c r="A40" s="7">
        <v>1</v>
      </c>
      <c r="B40" s="131">
        <f>SUBTOTAL(103,$A$12:A40)</f>
        <v>21</v>
      </c>
      <c r="C40" s="132" t="s">
        <v>1102</v>
      </c>
      <c r="D40" s="122">
        <v>1953</v>
      </c>
      <c r="E40" s="122"/>
      <c r="F40" s="122" t="s">
        <v>274</v>
      </c>
      <c r="G40" s="122">
        <v>2</v>
      </c>
      <c r="H40" s="122">
        <v>2</v>
      </c>
      <c r="I40" s="126">
        <v>755.8</v>
      </c>
      <c r="J40" s="126">
        <v>690.5</v>
      </c>
      <c r="K40" s="126">
        <f>J40-298.6</f>
        <v>391.9</v>
      </c>
      <c r="L40" s="135">
        <v>20</v>
      </c>
      <c r="M40" s="122" t="s">
        <v>273</v>
      </c>
      <c r="N40" s="122" t="s">
        <v>275</v>
      </c>
      <c r="O40" s="123">
        <v>2154384</v>
      </c>
      <c r="P40" s="123">
        <f t="shared" si="1"/>
        <v>2850.4683778777458</v>
      </c>
      <c r="Q40" s="136">
        <v>4007.6219543530033</v>
      </c>
    </row>
    <row r="41" spans="1:17" ht="35.25" x14ac:dyDescent="0.4">
      <c r="B41" s="132" t="s">
        <v>892</v>
      </c>
      <c r="C41" s="132"/>
      <c r="D41" s="122" t="s">
        <v>943</v>
      </c>
      <c r="E41" s="122" t="s">
        <v>943</v>
      </c>
      <c r="F41" s="122" t="s">
        <v>943</v>
      </c>
      <c r="G41" s="122" t="s">
        <v>943</v>
      </c>
      <c r="H41" s="122" t="s">
        <v>943</v>
      </c>
      <c r="I41" s="126">
        <f>I42</f>
        <v>1840.2</v>
      </c>
      <c r="J41" s="126">
        <f t="shared" ref="J41:L41" si="10">J42</f>
        <v>1606</v>
      </c>
      <c r="K41" s="126">
        <f t="shared" si="10"/>
        <v>1461.2</v>
      </c>
      <c r="L41" s="135">
        <f t="shared" si="10"/>
        <v>77</v>
      </c>
      <c r="M41" s="122" t="s">
        <v>943</v>
      </c>
      <c r="N41" s="122" t="s">
        <v>943</v>
      </c>
      <c r="O41" s="123">
        <v>5328000</v>
      </c>
      <c r="P41" s="123">
        <f t="shared" si="1"/>
        <v>2895.3374633192043</v>
      </c>
      <c r="Q41" s="136">
        <f>MAX(Q42)</f>
        <v>4070.7057385066837</v>
      </c>
    </row>
    <row r="42" spans="1:17" ht="35.25" x14ac:dyDescent="0.5">
      <c r="A42" s="7">
        <v>1</v>
      </c>
      <c r="B42" s="131">
        <f>SUBTOTAL(103,$A$12:A42)</f>
        <v>22</v>
      </c>
      <c r="C42" s="132" t="s">
        <v>1103</v>
      </c>
      <c r="D42" s="122">
        <v>1986</v>
      </c>
      <c r="E42" s="122"/>
      <c r="F42" s="122" t="s">
        <v>274</v>
      </c>
      <c r="G42" s="122">
        <v>3</v>
      </c>
      <c r="H42" s="122">
        <v>3</v>
      </c>
      <c r="I42" s="126">
        <v>1840.2</v>
      </c>
      <c r="J42" s="126">
        <v>1606</v>
      </c>
      <c r="K42" s="126">
        <f>J42-144.8</f>
        <v>1461.2</v>
      </c>
      <c r="L42" s="135">
        <v>77</v>
      </c>
      <c r="M42" s="122" t="s">
        <v>351</v>
      </c>
      <c r="N42" s="122" t="s">
        <v>1136</v>
      </c>
      <c r="O42" s="123">
        <v>5328000</v>
      </c>
      <c r="P42" s="123">
        <f t="shared" si="1"/>
        <v>2895.3374633192043</v>
      </c>
      <c r="Q42" s="136">
        <v>4070.7057385066837</v>
      </c>
    </row>
    <row r="43" spans="1:17" ht="35.25" x14ac:dyDescent="0.4">
      <c r="B43" s="132" t="s">
        <v>1122</v>
      </c>
      <c r="C43" s="132"/>
      <c r="D43" s="122" t="s">
        <v>943</v>
      </c>
      <c r="E43" s="122" t="s">
        <v>943</v>
      </c>
      <c r="F43" s="122" t="s">
        <v>943</v>
      </c>
      <c r="G43" s="122" t="s">
        <v>943</v>
      </c>
      <c r="H43" s="122" t="s">
        <v>943</v>
      </c>
      <c r="I43" s="126">
        <f>I44+I45+I46</f>
        <v>1542</v>
      </c>
      <c r="J43" s="126">
        <f t="shared" ref="J43:L43" si="11">J44+J45+J46</f>
        <v>1398.2</v>
      </c>
      <c r="K43" s="126">
        <f t="shared" si="11"/>
        <v>1169.9000000000001</v>
      </c>
      <c r="L43" s="135">
        <f t="shared" si="11"/>
        <v>58</v>
      </c>
      <c r="M43" s="122" t="s">
        <v>943</v>
      </c>
      <c r="N43" s="122" t="s">
        <v>943</v>
      </c>
      <c r="O43" s="123">
        <v>6998400</v>
      </c>
      <c r="P43" s="123">
        <f t="shared" si="1"/>
        <v>4538.5214007782097</v>
      </c>
      <c r="Q43" s="136">
        <f>MAX(Q44:Q46)</f>
        <v>7668.829545454545</v>
      </c>
    </row>
    <row r="44" spans="1:17" ht="35.25" x14ac:dyDescent="0.5">
      <c r="A44" s="7">
        <v>1</v>
      </c>
      <c r="B44" s="131">
        <f>SUBTOTAL(103,$A$12:A44)</f>
        <v>23</v>
      </c>
      <c r="C44" s="132" t="s">
        <v>1104</v>
      </c>
      <c r="D44" s="122">
        <v>1950</v>
      </c>
      <c r="E44" s="122"/>
      <c r="F44" s="122" t="s">
        <v>274</v>
      </c>
      <c r="G44" s="122">
        <v>2</v>
      </c>
      <c r="H44" s="122">
        <v>1</v>
      </c>
      <c r="I44" s="126">
        <v>440</v>
      </c>
      <c r="J44" s="126">
        <v>433.9</v>
      </c>
      <c r="K44" s="126">
        <f>J44-53.4</f>
        <v>380.5</v>
      </c>
      <c r="L44" s="135">
        <v>18</v>
      </c>
      <c r="M44" s="122" t="s">
        <v>276</v>
      </c>
      <c r="N44" s="122" t="s">
        <v>331</v>
      </c>
      <c r="O44" s="123">
        <v>2400000</v>
      </c>
      <c r="P44" s="123">
        <f t="shared" si="1"/>
        <v>5454.545454545455</v>
      </c>
      <c r="Q44" s="136">
        <v>7668.829545454545</v>
      </c>
    </row>
    <row r="45" spans="1:17" ht="35.25" x14ac:dyDescent="0.5">
      <c r="A45" s="7">
        <v>1</v>
      </c>
      <c r="B45" s="131">
        <f>SUBTOTAL(103,$A$12:A45)</f>
        <v>24</v>
      </c>
      <c r="C45" s="132" t="s">
        <v>1105</v>
      </c>
      <c r="D45" s="122">
        <v>1956</v>
      </c>
      <c r="E45" s="122"/>
      <c r="F45" s="122" t="s">
        <v>274</v>
      </c>
      <c r="G45" s="122">
        <v>2</v>
      </c>
      <c r="H45" s="122">
        <v>1</v>
      </c>
      <c r="I45" s="126">
        <v>536.70000000000005</v>
      </c>
      <c r="J45" s="126">
        <v>447.8</v>
      </c>
      <c r="K45" s="126">
        <f>J45-79.8</f>
        <v>368</v>
      </c>
      <c r="L45" s="135">
        <v>13</v>
      </c>
      <c r="M45" s="122" t="s">
        <v>276</v>
      </c>
      <c r="N45" s="122" t="s">
        <v>331</v>
      </c>
      <c r="O45" s="123">
        <v>2347200</v>
      </c>
      <c r="P45" s="123">
        <f t="shared" si="1"/>
        <v>4373.3929569591946</v>
      </c>
      <c r="Q45" s="136">
        <v>6148.7809390721068</v>
      </c>
    </row>
    <row r="46" spans="1:17" ht="35.25" x14ac:dyDescent="0.5">
      <c r="A46" s="7">
        <v>1</v>
      </c>
      <c r="B46" s="131">
        <f>SUBTOTAL(103,$A$12:A46)</f>
        <v>25</v>
      </c>
      <c r="C46" s="132" t="s">
        <v>1106</v>
      </c>
      <c r="D46" s="122">
        <v>1963</v>
      </c>
      <c r="E46" s="122"/>
      <c r="F46" s="122" t="s">
        <v>274</v>
      </c>
      <c r="G46" s="122">
        <v>2</v>
      </c>
      <c r="H46" s="122">
        <v>2</v>
      </c>
      <c r="I46" s="126">
        <v>565.29999999999995</v>
      </c>
      <c r="J46" s="126">
        <v>516.5</v>
      </c>
      <c r="K46" s="126">
        <f>J46-95.1</f>
        <v>421.4</v>
      </c>
      <c r="L46" s="135">
        <v>27</v>
      </c>
      <c r="M46" s="122" t="s">
        <v>276</v>
      </c>
      <c r="N46" s="122" t="s">
        <v>337</v>
      </c>
      <c r="O46" s="123">
        <v>2251200</v>
      </c>
      <c r="P46" s="123">
        <f t="shared" si="1"/>
        <v>3982.3102777286399</v>
      </c>
      <c r="Q46" s="136">
        <v>5598.9374314523266</v>
      </c>
    </row>
    <row r="47" spans="1:17" ht="35.25" x14ac:dyDescent="0.4">
      <c r="B47" s="132" t="s">
        <v>1123</v>
      </c>
      <c r="C47" s="132"/>
      <c r="D47" s="122" t="s">
        <v>943</v>
      </c>
      <c r="E47" s="122" t="s">
        <v>943</v>
      </c>
      <c r="F47" s="122" t="s">
        <v>943</v>
      </c>
      <c r="G47" s="122" t="s">
        <v>943</v>
      </c>
      <c r="H47" s="122" t="s">
        <v>943</v>
      </c>
      <c r="I47" s="126">
        <f>I48</f>
        <v>970.5</v>
      </c>
      <c r="J47" s="126">
        <f t="shared" ref="J47:L47" si="12">J48</f>
        <v>874</v>
      </c>
      <c r="K47" s="126">
        <f t="shared" si="12"/>
        <v>786.4</v>
      </c>
      <c r="L47" s="135">
        <f t="shared" si="12"/>
        <v>38</v>
      </c>
      <c r="M47" s="122" t="s">
        <v>943</v>
      </c>
      <c r="N47" s="122" t="s">
        <v>943</v>
      </c>
      <c r="O47" s="123">
        <v>3834600</v>
      </c>
      <c r="P47" s="123">
        <f t="shared" si="1"/>
        <v>3951.1591962905718</v>
      </c>
      <c r="Q47" s="136">
        <f>MAX(Q48)</f>
        <v>5332.9348834621323</v>
      </c>
    </row>
    <row r="48" spans="1:17" ht="35.25" x14ac:dyDescent="0.5">
      <c r="A48" s="7">
        <v>1</v>
      </c>
      <c r="B48" s="131">
        <f>SUBTOTAL(103,$A$12:A48)</f>
        <v>26</v>
      </c>
      <c r="C48" s="132" t="s">
        <v>1111</v>
      </c>
      <c r="D48" s="122">
        <v>1974</v>
      </c>
      <c r="E48" s="122"/>
      <c r="F48" s="122" t="s">
        <v>274</v>
      </c>
      <c r="G48" s="122">
        <v>2</v>
      </c>
      <c r="H48" s="122">
        <v>3</v>
      </c>
      <c r="I48" s="126">
        <v>970.5</v>
      </c>
      <c r="J48" s="126">
        <v>874</v>
      </c>
      <c r="K48" s="126">
        <f>J48-87.6</f>
        <v>786.4</v>
      </c>
      <c r="L48" s="135">
        <v>38</v>
      </c>
      <c r="M48" s="122" t="s">
        <v>276</v>
      </c>
      <c r="N48" s="122" t="s">
        <v>302</v>
      </c>
      <c r="O48" s="123">
        <v>3834600</v>
      </c>
      <c r="P48" s="123">
        <f t="shared" si="1"/>
        <v>3951.1591962905718</v>
      </c>
      <c r="Q48" s="136">
        <v>5332.9348834621323</v>
      </c>
    </row>
    <row r="49" spans="1:17" ht="35.25" x14ac:dyDescent="0.4">
      <c r="B49" s="132" t="s">
        <v>903</v>
      </c>
      <c r="C49" s="132"/>
      <c r="D49" s="122" t="s">
        <v>943</v>
      </c>
      <c r="E49" s="122" t="s">
        <v>943</v>
      </c>
      <c r="F49" s="122" t="s">
        <v>943</v>
      </c>
      <c r="G49" s="122" t="s">
        <v>943</v>
      </c>
      <c r="H49" s="122" t="s">
        <v>943</v>
      </c>
      <c r="I49" s="126">
        <f>I50</f>
        <v>465</v>
      </c>
      <c r="J49" s="126">
        <f t="shared" ref="J49:L49" si="13">J50</f>
        <v>424.6</v>
      </c>
      <c r="K49" s="126">
        <f t="shared" si="13"/>
        <v>175.8</v>
      </c>
      <c r="L49" s="135">
        <f t="shared" si="13"/>
        <v>26</v>
      </c>
      <c r="M49" s="122" t="s">
        <v>943</v>
      </c>
      <c r="N49" s="122" t="s">
        <v>943</v>
      </c>
      <c r="O49" s="123">
        <v>1692000</v>
      </c>
      <c r="P49" s="123">
        <f t="shared" si="1"/>
        <v>3638.7096774193546</v>
      </c>
      <c r="Q49" s="136">
        <f>MAX(Q50)</f>
        <v>5115.8514516129026</v>
      </c>
    </row>
    <row r="50" spans="1:17" ht="35.25" x14ac:dyDescent="0.5">
      <c r="A50" s="7">
        <v>1</v>
      </c>
      <c r="B50" s="131">
        <f>SUBTOTAL(103,$A$12:A50)</f>
        <v>27</v>
      </c>
      <c r="C50" s="132" t="s">
        <v>1107</v>
      </c>
      <c r="D50" s="122">
        <v>1953</v>
      </c>
      <c r="E50" s="122"/>
      <c r="F50" s="122" t="s">
        <v>274</v>
      </c>
      <c r="G50" s="122">
        <v>2</v>
      </c>
      <c r="H50" s="122">
        <v>1</v>
      </c>
      <c r="I50" s="126">
        <v>465</v>
      </c>
      <c r="J50" s="126">
        <v>424.6</v>
      </c>
      <c r="K50" s="126">
        <f>J50-248.8</f>
        <v>175.8</v>
      </c>
      <c r="L50" s="135">
        <v>26</v>
      </c>
      <c r="M50" s="122" t="s">
        <v>273</v>
      </c>
      <c r="N50" s="122" t="s">
        <v>275</v>
      </c>
      <c r="O50" s="123">
        <v>1692000</v>
      </c>
      <c r="P50" s="123">
        <f t="shared" si="1"/>
        <v>3638.7096774193546</v>
      </c>
      <c r="Q50" s="136">
        <v>5115.8514516129026</v>
      </c>
    </row>
    <row r="51" spans="1:17" ht="35.25" x14ac:dyDescent="0.4">
      <c r="B51" s="132" t="s">
        <v>909</v>
      </c>
      <c r="C51" s="132"/>
      <c r="D51" s="122" t="s">
        <v>943</v>
      </c>
      <c r="E51" s="122" t="s">
        <v>943</v>
      </c>
      <c r="F51" s="122" t="s">
        <v>943</v>
      </c>
      <c r="G51" s="122" t="s">
        <v>943</v>
      </c>
      <c r="H51" s="122" t="s">
        <v>943</v>
      </c>
      <c r="I51" s="126">
        <f>I52</f>
        <v>943.2</v>
      </c>
      <c r="J51" s="126">
        <f t="shared" ref="J51:L51" si="14">J52</f>
        <v>861.5</v>
      </c>
      <c r="K51" s="126">
        <f t="shared" si="14"/>
        <v>816.5</v>
      </c>
      <c r="L51" s="135">
        <f t="shared" si="14"/>
        <v>31</v>
      </c>
      <c r="M51" s="122" t="s">
        <v>943</v>
      </c>
      <c r="N51" s="122" t="s">
        <v>943</v>
      </c>
      <c r="O51" s="123">
        <v>3696000</v>
      </c>
      <c r="P51" s="123">
        <f t="shared" si="1"/>
        <v>3918.5750636132316</v>
      </c>
      <c r="Q51" s="136">
        <f>MAX(Q52)</f>
        <v>5509.3287743850715</v>
      </c>
    </row>
    <row r="52" spans="1:17" ht="35.25" x14ac:dyDescent="0.5">
      <c r="A52" s="7">
        <v>1</v>
      </c>
      <c r="B52" s="131">
        <f>SUBTOTAL(103,$A$12:A52)</f>
        <v>28</v>
      </c>
      <c r="C52" s="132" t="s">
        <v>1110</v>
      </c>
      <c r="D52" s="122">
        <v>1980</v>
      </c>
      <c r="E52" s="122"/>
      <c r="F52" s="122" t="s">
        <v>274</v>
      </c>
      <c r="G52" s="122">
        <v>2</v>
      </c>
      <c r="H52" s="122">
        <v>3</v>
      </c>
      <c r="I52" s="126">
        <v>943.2</v>
      </c>
      <c r="J52" s="126">
        <v>861.5</v>
      </c>
      <c r="K52" s="126">
        <f>J52-45</f>
        <v>816.5</v>
      </c>
      <c r="L52" s="135">
        <v>31</v>
      </c>
      <c r="M52" s="122" t="s">
        <v>276</v>
      </c>
      <c r="N52" s="122" t="s">
        <v>290</v>
      </c>
      <c r="O52" s="123">
        <v>3696000</v>
      </c>
      <c r="P52" s="123">
        <f t="shared" si="1"/>
        <v>3918.5750636132316</v>
      </c>
      <c r="Q52" s="136">
        <v>5509.3287743850715</v>
      </c>
    </row>
    <row r="53" spans="1:17" ht="35.25" x14ac:dyDescent="0.4">
      <c r="B53" s="132" t="s">
        <v>911</v>
      </c>
      <c r="C53" s="132"/>
      <c r="D53" s="122" t="s">
        <v>943</v>
      </c>
      <c r="E53" s="122" t="s">
        <v>943</v>
      </c>
      <c r="F53" s="122" t="s">
        <v>943</v>
      </c>
      <c r="G53" s="122" t="s">
        <v>943</v>
      </c>
      <c r="H53" s="122" t="s">
        <v>943</v>
      </c>
      <c r="I53" s="126">
        <f>I55+I54+I56</f>
        <v>2249.1999999999998</v>
      </c>
      <c r="J53" s="126">
        <f t="shared" ref="J53:L53" si="15">J55+J54+J56</f>
        <v>2068.4</v>
      </c>
      <c r="K53" s="126">
        <f t="shared" si="15"/>
        <v>2023.6000000000001</v>
      </c>
      <c r="L53" s="135">
        <f t="shared" si="15"/>
        <v>104</v>
      </c>
      <c r="M53" s="122" t="s">
        <v>943</v>
      </c>
      <c r="N53" s="122" t="s">
        <v>943</v>
      </c>
      <c r="O53" s="123">
        <v>5561408.3912315276</v>
      </c>
      <c r="P53" s="123">
        <f t="shared" si="1"/>
        <v>2472.6162152016395</v>
      </c>
      <c r="Q53" s="136">
        <f>MAX(Q54:Q56)</f>
        <v>6036.4373042044517</v>
      </c>
    </row>
    <row r="54" spans="1:17" ht="35.25" x14ac:dyDescent="0.5">
      <c r="A54" s="7">
        <v>1</v>
      </c>
      <c r="B54" s="131">
        <f>SUBTOTAL(103,$A$12:A54)</f>
        <v>29</v>
      </c>
      <c r="C54" s="132" t="s">
        <v>1158</v>
      </c>
      <c r="D54" s="122">
        <v>1980</v>
      </c>
      <c r="E54" s="122"/>
      <c r="F54" s="122" t="s">
        <v>328</v>
      </c>
      <c r="G54" s="122">
        <v>3</v>
      </c>
      <c r="H54" s="122">
        <v>3</v>
      </c>
      <c r="I54" s="126">
        <v>1481.6</v>
      </c>
      <c r="J54" s="126">
        <v>1361.4</v>
      </c>
      <c r="K54" s="126">
        <v>1361.4</v>
      </c>
      <c r="L54" s="135">
        <v>70</v>
      </c>
      <c r="M54" s="122" t="s">
        <v>273</v>
      </c>
      <c r="N54" s="122" t="s">
        <v>275</v>
      </c>
      <c r="O54" s="123">
        <v>2652760</v>
      </c>
      <c r="P54" s="123">
        <f t="shared" si="1"/>
        <v>1790.4697624190067</v>
      </c>
      <c r="Q54" s="136">
        <v>2746.1614828563715</v>
      </c>
    </row>
    <row r="55" spans="1:17" ht="35.25" x14ac:dyDescent="0.5">
      <c r="A55" s="7">
        <v>1</v>
      </c>
      <c r="B55" s="131">
        <f>SUBTOTAL(103,$A$12:A55)</f>
        <v>30</v>
      </c>
      <c r="C55" s="132" t="s">
        <v>1108</v>
      </c>
      <c r="D55" s="122">
        <v>1970</v>
      </c>
      <c r="E55" s="122"/>
      <c r="F55" s="122" t="s">
        <v>274</v>
      </c>
      <c r="G55" s="122">
        <v>2</v>
      </c>
      <c r="H55" s="122">
        <v>1</v>
      </c>
      <c r="I55" s="126">
        <v>403.7</v>
      </c>
      <c r="J55" s="126">
        <v>373</v>
      </c>
      <c r="K55" s="126">
        <f>J55-44.8</f>
        <v>328.2</v>
      </c>
      <c r="L55" s="135">
        <v>20</v>
      </c>
      <c r="M55" s="122" t="s">
        <v>273</v>
      </c>
      <c r="N55" s="122" t="s">
        <v>275</v>
      </c>
      <c r="O55" s="123">
        <v>1248598.3912315271</v>
      </c>
      <c r="P55" s="123">
        <f t="shared" si="1"/>
        <v>3092.8867754063094</v>
      </c>
      <c r="Q55" s="136">
        <v>4991.9880653950959</v>
      </c>
    </row>
    <row r="56" spans="1:17" ht="35.25" x14ac:dyDescent="0.5">
      <c r="A56" s="7">
        <v>1</v>
      </c>
      <c r="B56" s="131">
        <f>SUBTOTAL(103,$A$12:A56)</f>
        <v>31</v>
      </c>
      <c r="C56" s="132" t="s">
        <v>197</v>
      </c>
      <c r="D56" s="122">
        <v>1968</v>
      </c>
      <c r="E56" s="122"/>
      <c r="F56" s="122" t="s">
        <v>274</v>
      </c>
      <c r="G56" s="122">
        <v>2</v>
      </c>
      <c r="H56" s="122">
        <v>1</v>
      </c>
      <c r="I56" s="126">
        <v>363.9</v>
      </c>
      <c r="J56" s="126">
        <v>334</v>
      </c>
      <c r="K56" s="126">
        <v>334</v>
      </c>
      <c r="L56" s="135">
        <v>14</v>
      </c>
      <c r="M56" s="122" t="s">
        <v>273</v>
      </c>
      <c r="N56" s="123" t="s">
        <v>275</v>
      </c>
      <c r="O56" s="123">
        <v>1660050</v>
      </c>
      <c r="P56" s="123">
        <f t="shared" si="1"/>
        <v>4561.8301731244846</v>
      </c>
      <c r="Q56" s="136">
        <v>6036.4373042044517</v>
      </c>
    </row>
    <row r="57" spans="1:17" ht="35.25" x14ac:dyDescent="0.4">
      <c r="B57" s="132" t="s">
        <v>910</v>
      </c>
      <c r="C57" s="132"/>
      <c r="D57" s="122" t="s">
        <v>943</v>
      </c>
      <c r="E57" s="122" t="s">
        <v>943</v>
      </c>
      <c r="F57" s="122" t="s">
        <v>943</v>
      </c>
      <c r="G57" s="122" t="s">
        <v>943</v>
      </c>
      <c r="H57" s="122" t="s">
        <v>943</v>
      </c>
      <c r="I57" s="126">
        <f>I58</f>
        <v>940.4</v>
      </c>
      <c r="J57" s="126">
        <f t="shared" ref="J57:L57" si="16">J58</f>
        <v>558.4</v>
      </c>
      <c r="K57" s="126">
        <f t="shared" si="16"/>
        <v>558.4</v>
      </c>
      <c r="L57" s="135">
        <f t="shared" si="16"/>
        <v>26</v>
      </c>
      <c r="M57" s="122" t="s">
        <v>943</v>
      </c>
      <c r="N57" s="122" t="s">
        <v>943</v>
      </c>
      <c r="O57" s="123">
        <v>2736000</v>
      </c>
      <c r="P57" s="123">
        <f t="shared" si="1"/>
        <v>2909.4002552105489</v>
      </c>
      <c r="Q57" s="136">
        <f>MAX(Q58)</f>
        <v>4090.4773500638025</v>
      </c>
    </row>
    <row r="58" spans="1:17" ht="35.25" x14ac:dyDescent="0.5">
      <c r="A58" s="7">
        <v>1</v>
      </c>
      <c r="B58" s="131">
        <f>SUBTOTAL(103,$A$12:A58)</f>
        <v>32</v>
      </c>
      <c r="C58" s="132" t="s">
        <v>1146</v>
      </c>
      <c r="D58" s="122">
        <v>1987</v>
      </c>
      <c r="E58" s="122"/>
      <c r="F58" s="122" t="s">
        <v>274</v>
      </c>
      <c r="G58" s="137">
        <v>2</v>
      </c>
      <c r="H58" s="137">
        <v>2</v>
      </c>
      <c r="I58" s="126">
        <v>940.4</v>
      </c>
      <c r="J58" s="126">
        <v>558.4</v>
      </c>
      <c r="K58" s="126">
        <f>J58</f>
        <v>558.4</v>
      </c>
      <c r="L58" s="135">
        <v>26</v>
      </c>
      <c r="M58" s="122" t="s">
        <v>276</v>
      </c>
      <c r="N58" s="122" t="s">
        <v>1148</v>
      </c>
      <c r="O58" s="123">
        <v>2736000</v>
      </c>
      <c r="P58" s="123">
        <f t="shared" si="1"/>
        <v>2909.4002552105489</v>
      </c>
      <c r="Q58" s="136">
        <v>4090.4773500638025</v>
      </c>
    </row>
    <row r="59" spans="1:17" ht="35.25" x14ac:dyDescent="0.5">
      <c r="B59" s="133" t="s">
        <v>886</v>
      </c>
      <c r="C59" s="132"/>
      <c r="D59" s="122" t="s">
        <v>943</v>
      </c>
      <c r="E59" s="122" t="s">
        <v>943</v>
      </c>
      <c r="F59" s="122" t="s">
        <v>943</v>
      </c>
      <c r="G59" s="137" t="s">
        <v>943</v>
      </c>
      <c r="H59" s="137" t="s">
        <v>943</v>
      </c>
      <c r="I59" s="126">
        <f>I60</f>
        <v>1743.7</v>
      </c>
      <c r="J59" s="126">
        <f t="shared" ref="J59:L59" si="17">J60</f>
        <v>1557.1</v>
      </c>
      <c r="K59" s="126">
        <f t="shared" si="17"/>
        <v>1557.1</v>
      </c>
      <c r="L59" s="135">
        <f t="shared" si="17"/>
        <v>65</v>
      </c>
      <c r="M59" s="122" t="s">
        <v>943</v>
      </c>
      <c r="N59" s="122" t="s">
        <v>943</v>
      </c>
      <c r="O59" s="123">
        <v>2144509.73</v>
      </c>
      <c r="P59" s="123">
        <f t="shared" si="1"/>
        <v>1229.8616333084819</v>
      </c>
      <c r="Q59" s="136">
        <f>MAX(Q60)</f>
        <v>3468.29</v>
      </c>
    </row>
    <row r="60" spans="1:17" ht="35.25" x14ac:dyDescent="0.5">
      <c r="A60" s="7">
        <v>1</v>
      </c>
      <c r="B60" s="131">
        <f>SUBTOTAL(103,$A$12:A60)</f>
        <v>33</v>
      </c>
      <c r="C60" s="132" t="s">
        <v>1512</v>
      </c>
      <c r="D60" s="122">
        <v>1978</v>
      </c>
      <c r="E60" s="122"/>
      <c r="F60" s="122" t="s">
        <v>274</v>
      </c>
      <c r="G60" s="137">
        <v>3</v>
      </c>
      <c r="H60" s="137">
        <v>3</v>
      </c>
      <c r="I60" s="126">
        <v>1743.7</v>
      </c>
      <c r="J60" s="126">
        <v>1557.1</v>
      </c>
      <c r="K60" s="126">
        <v>1557.1</v>
      </c>
      <c r="L60" s="135">
        <v>65</v>
      </c>
      <c r="M60" s="122" t="s">
        <v>276</v>
      </c>
      <c r="N60" s="122" t="s">
        <v>862</v>
      </c>
      <c r="O60" s="123">
        <v>2144509.73</v>
      </c>
      <c r="P60" s="123">
        <f t="shared" si="1"/>
        <v>1229.8616333084819</v>
      </c>
      <c r="Q60" s="136">
        <v>3468.29</v>
      </c>
    </row>
    <row r="61" spans="1:17" ht="35.25" x14ac:dyDescent="0.5">
      <c r="B61" s="133" t="s">
        <v>922</v>
      </c>
      <c r="C61" s="132"/>
      <c r="D61" s="122" t="s">
        <v>943</v>
      </c>
      <c r="E61" s="122" t="s">
        <v>943</v>
      </c>
      <c r="F61" s="122" t="s">
        <v>943</v>
      </c>
      <c r="G61" s="137" t="s">
        <v>943</v>
      </c>
      <c r="H61" s="137" t="s">
        <v>943</v>
      </c>
      <c r="I61" s="126">
        <f>I62</f>
        <v>1105.0999999999999</v>
      </c>
      <c r="J61" s="126">
        <f t="shared" ref="J61:L61" si="18">J62</f>
        <v>953.3</v>
      </c>
      <c r="K61" s="126">
        <f t="shared" si="18"/>
        <v>870.1</v>
      </c>
      <c r="L61" s="135">
        <f t="shared" si="18"/>
        <v>44</v>
      </c>
      <c r="M61" s="122" t="s">
        <v>943</v>
      </c>
      <c r="N61" s="122" t="s">
        <v>943</v>
      </c>
      <c r="O61" s="123">
        <v>1590688.46</v>
      </c>
      <c r="P61" s="123">
        <f t="shared" si="1"/>
        <v>1439.4068048140441</v>
      </c>
      <c r="Q61" s="136">
        <f>MAX(Q62)</f>
        <v>944.3599999999999</v>
      </c>
    </row>
    <row r="62" spans="1:17" ht="35.25" x14ac:dyDescent="0.5">
      <c r="A62" s="7">
        <v>1</v>
      </c>
      <c r="B62" s="131">
        <f>SUBTOTAL(103,$A$12:A62)</f>
        <v>34</v>
      </c>
      <c r="C62" s="132" t="s">
        <v>1513</v>
      </c>
      <c r="D62" s="122">
        <v>1979</v>
      </c>
      <c r="E62" s="122"/>
      <c r="F62" s="122" t="s">
        <v>274</v>
      </c>
      <c r="G62" s="137">
        <v>2</v>
      </c>
      <c r="H62" s="137">
        <v>3</v>
      </c>
      <c r="I62" s="126">
        <v>1105.0999999999999</v>
      </c>
      <c r="J62" s="126">
        <v>953.3</v>
      </c>
      <c r="K62" s="126">
        <v>870.1</v>
      </c>
      <c r="L62" s="135">
        <v>44</v>
      </c>
      <c r="M62" s="122" t="s">
        <v>276</v>
      </c>
      <c r="N62" s="122" t="s">
        <v>1464</v>
      </c>
      <c r="O62" s="123">
        <v>1590688.46</v>
      </c>
      <c r="P62" s="123">
        <f t="shared" si="1"/>
        <v>1439.4068048140441</v>
      </c>
      <c r="Q62" s="136">
        <v>944.3599999999999</v>
      </c>
    </row>
    <row r="63" spans="1:17" ht="36" x14ac:dyDescent="0.55000000000000004">
      <c r="B63" s="134"/>
      <c r="C63" s="134"/>
    </row>
  </sheetData>
  <mergeCells count="22">
    <mergeCell ref="B9:Q9"/>
    <mergeCell ref="J4:K4"/>
    <mergeCell ref="L4:L6"/>
    <mergeCell ref="M4:M7"/>
    <mergeCell ref="N4:N7"/>
    <mergeCell ref="O4:O6"/>
    <mergeCell ref="P4:P6"/>
    <mergeCell ref="Q4:Q6"/>
    <mergeCell ref="D5:D7"/>
    <mergeCell ref="E5:E7"/>
    <mergeCell ref="J5:J6"/>
    <mergeCell ref="K5:K6"/>
    <mergeCell ref="O1:Q1"/>
    <mergeCell ref="N2:Q2"/>
    <mergeCell ref="B3:Q3"/>
    <mergeCell ref="B4:B7"/>
    <mergeCell ref="C4:C7"/>
    <mergeCell ref="D4:E4"/>
    <mergeCell ref="F4:F7"/>
    <mergeCell ref="G4:G7"/>
    <mergeCell ref="H4:H7"/>
    <mergeCell ref="I4:I6"/>
  </mergeCells>
  <pageMargins left="0" right="0" top="0" bottom="0" header="0" footer="0"/>
  <pageSetup paperSize="9" scale="1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4" zoomScale="60" zoomScaleNormal="60" workbookViewId="0">
      <selection sqref="A1:F27"/>
    </sheetView>
  </sheetViews>
  <sheetFormatPr defaultRowHeight="15" x14ac:dyDescent="0.25"/>
  <cols>
    <col min="1" max="1" width="12" customWidth="1"/>
    <col min="2" max="2" width="51.28515625" customWidth="1"/>
    <col min="3" max="3" width="22.140625" customWidth="1"/>
    <col min="4" max="4" width="38.85546875" customWidth="1"/>
    <col min="5" max="5" width="20.5703125" customWidth="1"/>
    <col min="6" max="6" width="25.28515625" customWidth="1"/>
  </cols>
  <sheetData>
    <row r="1" spans="1:6" ht="35.25" customHeight="1" x14ac:dyDescent="0.35">
      <c r="C1" s="48"/>
      <c r="D1" s="247" t="s">
        <v>1137</v>
      </c>
      <c r="E1" s="247"/>
      <c r="F1" s="247"/>
    </row>
    <row r="2" spans="1:6" ht="53.25" customHeight="1" x14ac:dyDescent="0.25">
      <c r="C2" s="252" t="s">
        <v>1126</v>
      </c>
      <c r="D2" s="252"/>
      <c r="E2" s="252"/>
      <c r="F2" s="252"/>
    </row>
    <row r="3" spans="1:6" ht="104.25" customHeight="1" x14ac:dyDescent="0.25">
      <c r="A3" s="253" t="s">
        <v>1138</v>
      </c>
      <c r="B3" s="253"/>
      <c r="C3" s="253"/>
      <c r="D3" s="253"/>
      <c r="E3" s="253"/>
      <c r="F3" s="253"/>
    </row>
    <row r="4" spans="1:6" x14ac:dyDescent="0.25">
      <c r="A4" s="254" t="s">
        <v>6</v>
      </c>
      <c r="B4" s="254" t="s">
        <v>793</v>
      </c>
      <c r="C4" s="248" t="s">
        <v>794</v>
      </c>
      <c r="D4" s="248" t="s">
        <v>1139</v>
      </c>
      <c r="E4" s="248" t="s">
        <v>796</v>
      </c>
      <c r="F4" s="248" t="s">
        <v>797</v>
      </c>
    </row>
    <row r="5" spans="1:6" ht="156.75" customHeight="1" x14ac:dyDescent="0.25">
      <c r="A5" s="255"/>
      <c r="B5" s="255"/>
      <c r="C5" s="256"/>
      <c r="D5" s="248"/>
      <c r="E5" s="248"/>
      <c r="F5" s="248"/>
    </row>
    <row r="6" spans="1:6" ht="23.25" x14ac:dyDescent="0.25">
      <c r="A6" s="255"/>
      <c r="B6" s="255"/>
      <c r="C6" s="49" t="s">
        <v>798</v>
      </c>
      <c r="D6" s="49" t="s">
        <v>270</v>
      </c>
      <c r="E6" s="49" t="s">
        <v>37</v>
      </c>
      <c r="F6" s="49" t="s">
        <v>36</v>
      </c>
    </row>
    <row r="7" spans="1:6" ht="23.25" x14ac:dyDescent="0.35">
      <c r="A7" s="50">
        <v>1</v>
      </c>
      <c r="B7" s="50">
        <v>2</v>
      </c>
      <c r="C7" s="50">
        <v>3</v>
      </c>
      <c r="D7" s="50">
        <v>4</v>
      </c>
      <c r="E7" s="51">
        <v>5</v>
      </c>
      <c r="F7" s="51">
        <v>6</v>
      </c>
    </row>
    <row r="8" spans="1:6" ht="74.25" customHeight="1" x14ac:dyDescent="0.25">
      <c r="A8" s="249" t="s">
        <v>1090</v>
      </c>
      <c r="B8" s="250"/>
      <c r="C8" s="250"/>
      <c r="D8" s="250"/>
      <c r="E8" s="250"/>
      <c r="F8" s="251"/>
    </row>
    <row r="9" spans="1:6" ht="23.25" x14ac:dyDescent="0.35">
      <c r="A9" s="50"/>
      <c r="B9" s="52" t="s">
        <v>1140</v>
      </c>
      <c r="C9" s="53">
        <f>SUM(C10:C27)</f>
        <v>37263.279999999992</v>
      </c>
      <c r="D9" s="105">
        <f t="shared" ref="D9:F9" si="0">SUM(D10:D27)</f>
        <v>1558</v>
      </c>
      <c r="E9" s="54">
        <f t="shared" si="0"/>
        <v>34</v>
      </c>
      <c r="F9" s="53">
        <f t="shared" si="0"/>
        <v>87771544.497684732</v>
      </c>
    </row>
    <row r="10" spans="1:6" ht="23.25" x14ac:dyDescent="0.35">
      <c r="A10" s="50">
        <v>1</v>
      </c>
      <c r="B10" s="55" t="s">
        <v>949</v>
      </c>
      <c r="C10" s="56">
        <v>792.7</v>
      </c>
      <c r="D10" s="54">
        <v>42</v>
      </c>
      <c r="E10" s="54">
        <v>1</v>
      </c>
      <c r="F10" s="57">
        <v>2880000</v>
      </c>
    </row>
    <row r="11" spans="1:6" ht="23.25" x14ac:dyDescent="0.35">
      <c r="A11" s="50">
        <v>2</v>
      </c>
      <c r="B11" s="55" t="s">
        <v>1465</v>
      </c>
      <c r="C11" s="56">
        <v>17040.599999999999</v>
      </c>
      <c r="D11" s="54">
        <v>633</v>
      </c>
      <c r="E11" s="54">
        <v>9</v>
      </c>
      <c r="F11" s="57">
        <v>27624193.716305416</v>
      </c>
    </row>
    <row r="12" spans="1:6" ht="23.25" x14ac:dyDescent="0.35">
      <c r="A12" s="50">
        <v>3</v>
      </c>
      <c r="B12" s="55" t="s">
        <v>953</v>
      </c>
      <c r="C12" s="56">
        <v>882.3</v>
      </c>
      <c r="D12" s="54">
        <v>29</v>
      </c>
      <c r="E12" s="54">
        <v>1</v>
      </c>
      <c r="F12" s="57">
        <v>1376400</v>
      </c>
    </row>
    <row r="13" spans="1:6" ht="23.25" x14ac:dyDescent="0.35">
      <c r="A13" s="50">
        <v>4</v>
      </c>
      <c r="B13" s="55" t="s">
        <v>958</v>
      </c>
      <c r="C13" s="56">
        <v>1813.2</v>
      </c>
      <c r="D13" s="54">
        <v>156</v>
      </c>
      <c r="E13" s="54">
        <v>1</v>
      </c>
      <c r="F13" s="57">
        <v>6000000</v>
      </c>
    </row>
    <row r="14" spans="1:6" ht="23.25" x14ac:dyDescent="0.35">
      <c r="A14" s="50">
        <v>5</v>
      </c>
      <c r="B14" s="55" t="s">
        <v>959</v>
      </c>
      <c r="C14" s="56">
        <v>366.5</v>
      </c>
      <c r="D14" s="54">
        <v>13</v>
      </c>
      <c r="E14" s="54">
        <v>1</v>
      </c>
      <c r="F14" s="57">
        <v>1405440</v>
      </c>
    </row>
    <row r="15" spans="1:6" ht="23.25" x14ac:dyDescent="0.35">
      <c r="A15" s="50">
        <v>6</v>
      </c>
      <c r="B15" s="55" t="s">
        <v>1466</v>
      </c>
      <c r="C15" s="56">
        <v>874.3</v>
      </c>
      <c r="D15" s="54">
        <v>38</v>
      </c>
      <c r="E15" s="54">
        <v>2</v>
      </c>
      <c r="F15" s="57">
        <v>3363253.9701477829</v>
      </c>
    </row>
    <row r="16" spans="1:6" ht="23.25" x14ac:dyDescent="0.35">
      <c r="A16" s="50">
        <v>7</v>
      </c>
      <c r="B16" s="55" t="s">
        <v>968</v>
      </c>
      <c r="C16" s="56">
        <v>845.48</v>
      </c>
      <c r="D16" s="54">
        <v>48</v>
      </c>
      <c r="E16" s="54">
        <v>2</v>
      </c>
      <c r="F16" s="57">
        <v>3465600.02</v>
      </c>
    </row>
    <row r="17" spans="1:6" ht="23.25" x14ac:dyDescent="0.35">
      <c r="A17" s="50">
        <v>8</v>
      </c>
      <c r="B17" s="55" t="s">
        <v>1002</v>
      </c>
      <c r="C17" s="56">
        <v>2093.1</v>
      </c>
      <c r="D17" s="54">
        <v>110</v>
      </c>
      <c r="E17" s="54">
        <v>3</v>
      </c>
      <c r="F17" s="57">
        <v>5920666.21</v>
      </c>
    </row>
    <row r="18" spans="1:6" ht="23.25" x14ac:dyDescent="0.35">
      <c r="A18" s="50">
        <v>9</v>
      </c>
      <c r="B18" s="55" t="s">
        <v>973</v>
      </c>
      <c r="C18" s="56">
        <v>755.8</v>
      </c>
      <c r="D18" s="54">
        <v>20</v>
      </c>
      <c r="E18" s="54">
        <v>1</v>
      </c>
      <c r="F18" s="57">
        <v>2154384</v>
      </c>
    </row>
    <row r="19" spans="1:6" ht="23.25" x14ac:dyDescent="0.35">
      <c r="A19" s="50">
        <v>10</v>
      </c>
      <c r="B19" s="55" t="s">
        <v>976</v>
      </c>
      <c r="C19" s="56">
        <v>1840.2</v>
      </c>
      <c r="D19" s="54">
        <v>77</v>
      </c>
      <c r="E19" s="54">
        <v>1</v>
      </c>
      <c r="F19" s="57">
        <v>5328000</v>
      </c>
    </row>
    <row r="20" spans="1:6" ht="23.25" x14ac:dyDescent="0.35">
      <c r="A20" s="50">
        <v>11</v>
      </c>
      <c r="B20" s="55" t="s">
        <v>1467</v>
      </c>
      <c r="C20" s="56">
        <v>1542</v>
      </c>
      <c r="D20" s="54">
        <v>58</v>
      </c>
      <c r="E20" s="54">
        <v>3</v>
      </c>
      <c r="F20" s="57">
        <v>6998400</v>
      </c>
    </row>
    <row r="21" spans="1:6" ht="23.25" x14ac:dyDescent="0.35">
      <c r="A21" s="50">
        <v>12</v>
      </c>
      <c r="B21" s="55" t="s">
        <v>1468</v>
      </c>
      <c r="C21" s="56">
        <v>970.5</v>
      </c>
      <c r="D21" s="54">
        <v>38</v>
      </c>
      <c r="E21" s="54">
        <v>1</v>
      </c>
      <c r="F21" s="57">
        <v>3834600</v>
      </c>
    </row>
    <row r="22" spans="1:6" ht="23.25" x14ac:dyDescent="0.35">
      <c r="A22" s="50">
        <v>13</v>
      </c>
      <c r="B22" s="55" t="s">
        <v>989</v>
      </c>
      <c r="C22" s="56">
        <v>465</v>
      </c>
      <c r="D22" s="54">
        <v>26</v>
      </c>
      <c r="E22" s="54">
        <v>1</v>
      </c>
      <c r="F22" s="57">
        <v>1692000</v>
      </c>
    </row>
    <row r="23" spans="1:6" ht="23.25" x14ac:dyDescent="0.35">
      <c r="A23" s="50">
        <v>14</v>
      </c>
      <c r="B23" s="55" t="s">
        <v>1017</v>
      </c>
      <c r="C23" s="56">
        <v>943.2</v>
      </c>
      <c r="D23" s="54">
        <v>31</v>
      </c>
      <c r="E23" s="54">
        <v>1</v>
      </c>
      <c r="F23" s="57">
        <v>3696000</v>
      </c>
    </row>
    <row r="24" spans="1:6" ht="23.25" x14ac:dyDescent="0.35">
      <c r="A24" s="50">
        <v>15</v>
      </c>
      <c r="B24" s="55" t="s">
        <v>997</v>
      </c>
      <c r="C24" s="56">
        <v>2249.1999999999998</v>
      </c>
      <c r="D24" s="54">
        <v>104</v>
      </c>
      <c r="E24" s="54">
        <v>3</v>
      </c>
      <c r="F24" s="57">
        <v>5561408.3912315276</v>
      </c>
    </row>
    <row r="25" spans="1:6" ht="23.25" x14ac:dyDescent="0.35">
      <c r="A25" s="50">
        <v>16</v>
      </c>
      <c r="B25" s="55" t="s">
        <v>996</v>
      </c>
      <c r="C25" s="56">
        <v>940.4</v>
      </c>
      <c r="D25" s="54">
        <v>26</v>
      </c>
      <c r="E25" s="54">
        <v>1</v>
      </c>
      <c r="F25" s="57">
        <v>2736000</v>
      </c>
    </row>
    <row r="26" spans="1:6" ht="23.25" x14ac:dyDescent="0.35">
      <c r="A26" s="50">
        <v>17</v>
      </c>
      <c r="B26" s="55" t="s">
        <v>970</v>
      </c>
      <c r="C26" s="56">
        <v>1743.7</v>
      </c>
      <c r="D26" s="54">
        <v>65</v>
      </c>
      <c r="E26" s="54">
        <v>1</v>
      </c>
      <c r="F26" s="57">
        <v>2144509.73</v>
      </c>
    </row>
    <row r="27" spans="1:6" ht="23.25" x14ac:dyDescent="0.35">
      <c r="A27" s="50">
        <v>18</v>
      </c>
      <c r="B27" s="55" t="s">
        <v>965</v>
      </c>
      <c r="C27" s="56">
        <v>1105.0999999999999</v>
      </c>
      <c r="D27" s="54">
        <v>44</v>
      </c>
      <c r="E27" s="54">
        <v>1</v>
      </c>
      <c r="F27" s="57">
        <v>1590688.46</v>
      </c>
    </row>
  </sheetData>
  <mergeCells count="10">
    <mergeCell ref="D1:F1"/>
    <mergeCell ref="F4:F5"/>
    <mergeCell ref="A8:F8"/>
    <mergeCell ref="C2:F2"/>
    <mergeCell ref="A3:F3"/>
    <mergeCell ref="A4:A6"/>
    <mergeCell ref="B4:B6"/>
    <mergeCell ref="C4:C5"/>
    <mergeCell ref="D4:D5"/>
    <mergeCell ref="E4:E5"/>
  </mergeCells>
  <pageMargins left="0.39" right="0.32" top="0.75" bottom="0.75" header="0.3" footer="0.3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Реестр</vt:lpstr>
      <vt:lpstr>Перечень</vt:lpstr>
      <vt:lpstr>Рес обесп</vt:lpstr>
      <vt:lpstr>Плановые показатели</vt:lpstr>
      <vt:lpstr>Реестр_бонусы</vt:lpstr>
      <vt:lpstr>Перечень_бонусы</vt:lpstr>
      <vt:lpstr>Планируемые показат_бонусы</vt:lpstr>
      <vt:lpstr>Перечень!Область_печати</vt:lpstr>
      <vt:lpstr>Реестр!Область_печати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Базжина</dc:creator>
  <cp:lastModifiedBy>user</cp:lastModifiedBy>
  <cp:lastPrinted>2019-11-27T11:42:00Z</cp:lastPrinted>
  <dcterms:created xsi:type="dcterms:W3CDTF">2019-03-21T15:19:46Z</dcterms:created>
  <dcterms:modified xsi:type="dcterms:W3CDTF">2019-11-27T12:09:33Z</dcterms:modified>
</cp:coreProperties>
</file>